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0730" windowHeight="11160" tabRatio="601" firstSheet="4" activeTab="4"/>
  </bookViews>
  <sheets>
    <sheet name="RELAÇÃO DAS RUAS" sheetId="10" state="hidden" r:id="rId1"/>
    <sheet name="CRONOGRAMA POR RUA" sheetId="12" state="hidden" r:id="rId2"/>
    <sheet name="RUA 8-9-10 E SEBASTIÃO A" sheetId="1" state="hidden" r:id="rId3"/>
    <sheet name="RUA SEBASTIÃO AUGUSTO INACIO" sheetId="17" state="hidden" r:id="rId4"/>
    <sheet name="PLANILHA GERAL" sheetId="35" r:id="rId5"/>
    <sheet name="MEMORIA RUA SEBASTIAO AUGUSTO" sheetId="18" state="hidden" r:id="rId6"/>
    <sheet name="M Calculo" sheetId="20" state="hidden" r:id="rId7"/>
    <sheet name="Ruas Bambu Cerejeira e Macieira" sheetId="19" state="hidden" r:id="rId8"/>
    <sheet name="Ruas Bambu com Daniel" sheetId="22" state="hidden" r:id="rId9"/>
    <sheet name="Ruas Bambu com Daniel Parci (2)" sheetId="25" state="hidden" r:id="rId10"/>
  </sheets>
  <definedNames>
    <definedName name="_xlnm.Print_Area" localSheetId="1">'CRONOGRAMA POR RUA'!$A$1:$T$40</definedName>
    <definedName name="_xlnm.Print_Area" localSheetId="4">'PLANILHA GERAL'!$A$1:$J$81</definedName>
    <definedName name="_xlnm.Print_Area" localSheetId="0">'RELAÇÃO DAS RUAS'!$A$1:$G$34</definedName>
    <definedName name="_xlnm.Print_Titles" localSheetId="4">'PLANILHA GERAL'!$2:$5</definedName>
    <definedName name="_xlnm.Print_Titles" localSheetId="9">'Ruas Bambu com Daniel Parci (2)'!$3:$6</definedName>
  </definedNames>
  <calcPr calcId="145621"/>
</workbook>
</file>

<file path=xl/calcChain.xml><?xml version="1.0" encoding="utf-8"?>
<calcChain xmlns="http://schemas.openxmlformats.org/spreadsheetml/2006/main">
  <c r="I42" i="25" l="1"/>
  <c r="J42" i="25" s="1"/>
  <c r="I41" i="25"/>
  <c r="J41" i="25" s="1"/>
  <c r="I40" i="25"/>
  <c r="J40" i="25"/>
  <c r="I39" i="25"/>
  <c r="J39" i="25"/>
  <c r="I38" i="25"/>
  <c r="J38" i="25" s="1"/>
  <c r="I37" i="25"/>
  <c r="J37" i="25"/>
  <c r="I34" i="25"/>
  <c r="J34" i="25"/>
  <c r="I33" i="25"/>
  <c r="J33" i="25" s="1"/>
  <c r="I32" i="25"/>
  <c r="J32" i="25"/>
  <c r="I29" i="25"/>
  <c r="I28" i="25"/>
  <c r="I27" i="25"/>
  <c r="I26" i="25"/>
  <c r="I25" i="25"/>
  <c r="I23" i="25"/>
  <c r="I21" i="25"/>
  <c r="I20" i="25"/>
  <c r="I19" i="25"/>
  <c r="I17" i="25"/>
  <c r="I16" i="25"/>
  <c r="I15" i="25"/>
  <c r="I11" i="25"/>
  <c r="J11" i="25"/>
  <c r="I10" i="25"/>
  <c r="J10" i="25" s="1"/>
  <c r="G7" i="25"/>
  <c r="J35" i="25" l="1"/>
  <c r="J43" i="25"/>
  <c r="J12" i="25"/>
  <c r="J29" i="25"/>
  <c r="J25" i="25"/>
  <c r="J26" i="25"/>
  <c r="M12" i="25"/>
  <c r="J23" i="25"/>
  <c r="J15" i="25" l="1"/>
  <c r="J27" i="25"/>
  <c r="J28" i="25"/>
  <c r="J20" i="25"/>
  <c r="L29" i="25" l="1"/>
  <c r="M29" i="25" s="1"/>
  <c r="J21" i="25"/>
  <c r="J19" i="25"/>
  <c r="J16" i="25"/>
  <c r="J17" i="25"/>
  <c r="L23" i="25" l="1"/>
  <c r="M23" i="25" s="1"/>
  <c r="J30" i="25"/>
  <c r="J44" i="25" s="1"/>
  <c r="K12" i="25" l="1"/>
  <c r="K43" i="25"/>
  <c r="K35" i="25"/>
  <c r="K30" i="25"/>
  <c r="K44" i="25" l="1"/>
  <c r="I8" i="22" l="1"/>
  <c r="J8" i="22" s="1"/>
  <c r="J10" i="22" s="1"/>
  <c r="I9" i="22"/>
  <c r="J9" i="22" s="1"/>
  <c r="G13" i="22"/>
  <c r="G14" i="22" s="1"/>
  <c r="I13" i="22"/>
  <c r="I14" i="22"/>
  <c r="I15" i="22"/>
  <c r="G17" i="22"/>
  <c r="G19" i="22" s="1"/>
  <c r="I17" i="22"/>
  <c r="I18" i="22"/>
  <c r="J18" i="22" s="1"/>
  <c r="I19" i="22"/>
  <c r="G21" i="22"/>
  <c r="I21" i="22"/>
  <c r="G23" i="22"/>
  <c r="I23" i="22"/>
  <c r="G24" i="22"/>
  <c r="I24" i="22"/>
  <c r="G25" i="22"/>
  <c r="G26" i="22" s="1"/>
  <c r="I25" i="22"/>
  <c r="I26" i="22"/>
  <c r="G27" i="22"/>
  <c r="I27" i="22"/>
  <c r="I30" i="22"/>
  <c r="J30" i="22" s="1"/>
  <c r="I31" i="22"/>
  <c r="J31" i="22" s="1"/>
  <c r="G32" i="22"/>
  <c r="I32" i="22"/>
  <c r="G35" i="22"/>
  <c r="I35" i="22"/>
  <c r="G36" i="22"/>
  <c r="I36" i="22"/>
  <c r="I37" i="22"/>
  <c r="J37" i="22" s="1"/>
  <c r="G38" i="22"/>
  <c r="I38" i="22"/>
  <c r="G39" i="22"/>
  <c r="I39" i="22"/>
  <c r="I40" i="22"/>
  <c r="J40" i="22" s="1"/>
  <c r="G8" i="19"/>
  <c r="I8" i="19"/>
  <c r="G9" i="19"/>
  <c r="I9" i="19"/>
  <c r="G13" i="19"/>
  <c r="G14" i="19" s="1"/>
  <c r="I13" i="19"/>
  <c r="I14" i="19"/>
  <c r="I15" i="19"/>
  <c r="G17" i="19"/>
  <c r="G19" i="19" s="1"/>
  <c r="I17" i="19"/>
  <c r="I18" i="19"/>
  <c r="J18" i="19" s="1"/>
  <c r="I19" i="19"/>
  <c r="G21" i="19"/>
  <c r="I21" i="19"/>
  <c r="G23" i="19"/>
  <c r="I23" i="19"/>
  <c r="G24" i="19"/>
  <c r="I24" i="19"/>
  <c r="J24" i="19" s="1"/>
  <c r="G25" i="19"/>
  <c r="G26" i="19" s="1"/>
  <c r="I25" i="19"/>
  <c r="I26" i="19"/>
  <c r="G27" i="19"/>
  <c r="I27" i="19"/>
  <c r="I30" i="19"/>
  <c r="J30" i="19" s="1"/>
  <c r="I31" i="19"/>
  <c r="J31" i="19" s="1"/>
  <c r="G32" i="19"/>
  <c r="I32" i="19"/>
  <c r="G35" i="19"/>
  <c r="I35" i="19"/>
  <c r="J35" i="19" s="1"/>
  <c r="G36" i="19"/>
  <c r="I36" i="19"/>
  <c r="I37" i="19"/>
  <c r="J37" i="19" s="1"/>
  <c r="G38" i="19"/>
  <c r="I38" i="19"/>
  <c r="G39" i="19"/>
  <c r="I39" i="19"/>
  <c r="I40" i="19"/>
  <c r="J40" i="19" s="1"/>
  <c r="J17" i="22" l="1"/>
  <c r="J13" i="22"/>
  <c r="J38" i="19"/>
  <c r="J36" i="19"/>
  <c r="J41" i="19" s="1"/>
  <c r="J9" i="19"/>
  <c r="J32" i="22"/>
  <c r="J25" i="22"/>
  <c r="J23" i="22"/>
  <c r="J21" i="19"/>
  <c r="J17" i="19"/>
  <c r="J27" i="22"/>
  <c r="J39" i="22"/>
  <c r="J35" i="22"/>
  <c r="J41" i="22" s="1"/>
  <c r="J33" i="19"/>
  <c r="J39" i="19"/>
  <c r="J32" i="19"/>
  <c r="J27" i="19"/>
  <c r="J26" i="19"/>
  <c r="J23" i="19"/>
  <c r="J8" i="19"/>
  <c r="J36" i="22"/>
  <c r="J21" i="22"/>
  <c r="G15" i="19"/>
  <c r="J15" i="19" s="1"/>
  <c r="J14" i="19"/>
  <c r="J25" i="19"/>
  <c r="J13" i="19"/>
  <c r="J38" i="22"/>
  <c r="J29" i="22" s="1"/>
  <c r="J26" i="22"/>
  <c r="J19" i="22"/>
  <c r="J24" i="22"/>
  <c r="J19" i="19"/>
  <c r="J33" i="22"/>
  <c r="J29" i="19"/>
  <c r="G15" i="22"/>
  <c r="J15" i="22" s="1"/>
  <c r="J14" i="22"/>
  <c r="J10" i="19" l="1"/>
  <c r="J28" i="19"/>
  <c r="J42" i="19" s="1"/>
  <c r="K10" i="19" s="1"/>
  <c r="J28" i="22"/>
  <c r="J42" i="22" s="1"/>
  <c r="K10" i="22" s="1"/>
  <c r="K28" i="19" l="1"/>
  <c r="K33" i="19"/>
  <c r="K41" i="19"/>
  <c r="K42" i="19" s="1"/>
  <c r="K41" i="22"/>
  <c r="K33" i="22"/>
  <c r="K28" i="22"/>
  <c r="K42" i="22" l="1"/>
  <c r="M5" i="22" l="1"/>
  <c r="M7" i="22" l="1"/>
  <c r="M8" i="22"/>
  <c r="M6" i="22"/>
  <c r="M9" i="22" l="1"/>
  <c r="E28" i="20" l="1"/>
  <c r="E26" i="20"/>
  <c r="E27" i="20" s="1"/>
  <c r="E25" i="20"/>
  <c r="E23" i="20"/>
  <c r="E21" i="20"/>
  <c r="E22" i="20" s="1"/>
  <c r="E19" i="20"/>
  <c r="E20" i="20" s="1"/>
  <c r="E12" i="20"/>
  <c r="E14" i="20" s="1"/>
  <c r="E8" i="20"/>
  <c r="E9" i="20" s="1"/>
  <c r="E35" i="20" s="1"/>
  <c r="E10" i="20" l="1"/>
  <c r="E13" i="20"/>
  <c r="E11" i="20"/>
  <c r="B47" i="18" l="1"/>
  <c r="D47" i="18" s="1"/>
  <c r="F17" i="1" l="1"/>
  <c r="H17" i="1"/>
  <c r="M7" i="19" l="1"/>
  <c r="M5" i="19"/>
  <c r="I17" i="1"/>
  <c r="H20" i="1"/>
  <c r="B19" i="18"/>
  <c r="B18" i="18"/>
  <c r="B17" i="18"/>
  <c r="B13" i="18"/>
  <c r="B15" i="18" s="1"/>
  <c r="B7" i="18"/>
  <c r="B46" i="18" s="1"/>
  <c r="D46" i="18" s="1"/>
  <c r="M8" i="19" l="1"/>
  <c r="M6" i="19"/>
  <c r="I20" i="1"/>
  <c r="E9" i="18"/>
  <c r="F43" i="1"/>
  <c r="F21" i="1" l="1"/>
  <c r="F24" i="1"/>
  <c r="F16" i="1"/>
  <c r="F21" i="17"/>
  <c r="F25" i="17" s="1"/>
  <c r="F26" i="17" s="1"/>
  <c r="C59" i="18"/>
  <c r="B59" i="18"/>
  <c r="C57" i="18"/>
  <c r="D57" i="18" s="1"/>
  <c r="D56" i="18"/>
  <c r="B55" i="18"/>
  <c r="E55" i="18" s="1"/>
  <c r="B54" i="18"/>
  <c r="E54" i="18" s="1"/>
  <c r="B53" i="18"/>
  <c r="E53" i="18" s="1"/>
  <c r="B52" i="18"/>
  <c r="E52" i="18" s="1"/>
  <c r="D51" i="18"/>
  <c r="D50" i="18"/>
  <c r="B9" i="18"/>
  <c r="M9" i="19" l="1"/>
  <c r="F25" i="1"/>
  <c r="F26" i="1" s="1"/>
  <c r="F27" i="1"/>
  <c r="D48" i="18"/>
  <c r="B22" i="18"/>
  <c r="B24" i="18" s="1"/>
  <c r="B10" i="18"/>
  <c r="E56" i="18"/>
  <c r="D59" i="18"/>
  <c r="B58" i="18"/>
  <c r="E58" i="18" s="1"/>
  <c r="B33" i="18" l="1"/>
  <c r="B35" i="18" s="1"/>
  <c r="B27" i="18"/>
  <c r="B30" i="18" s="1"/>
  <c r="B38" i="18" s="1"/>
  <c r="B40" i="18" s="1"/>
  <c r="H47" i="17" l="1"/>
  <c r="I47" i="17" s="1"/>
  <c r="H46" i="17"/>
  <c r="H45" i="17"/>
  <c r="H44" i="17"/>
  <c r="H43" i="17"/>
  <c r="H42" i="17"/>
  <c r="H39" i="17"/>
  <c r="H38" i="17"/>
  <c r="H37" i="17"/>
  <c r="I35" i="17"/>
  <c r="H33" i="17"/>
  <c r="I33" i="17" s="1"/>
  <c r="H32" i="17"/>
  <c r="I32" i="17" s="1"/>
  <c r="I30" i="17"/>
  <c r="H28" i="17"/>
  <c r="I28" i="17" s="1"/>
  <c r="H27" i="17"/>
  <c r="I27" i="17" s="1"/>
  <c r="H26" i="17"/>
  <c r="I26" i="17" s="1"/>
  <c r="H25" i="17"/>
  <c r="I25" i="17" s="1"/>
  <c r="H24" i="17"/>
  <c r="I24" i="17" s="1"/>
  <c r="H23" i="17"/>
  <c r="I23" i="17" s="1"/>
  <c r="H21" i="17"/>
  <c r="I21" i="17" s="1"/>
  <c r="H20" i="17"/>
  <c r="I20" i="17" s="1"/>
  <c r="I17" i="17"/>
  <c r="H15" i="17"/>
  <c r="I15" i="17" s="1"/>
  <c r="H13" i="17"/>
  <c r="I13" i="17" s="1"/>
  <c r="H12" i="17"/>
  <c r="I12" i="17" s="1"/>
  <c r="H11" i="17"/>
  <c r="I11" i="17" s="1"/>
  <c r="H10" i="17"/>
  <c r="I10" i="17" s="1"/>
  <c r="H8" i="17"/>
  <c r="I45" i="17" l="1"/>
  <c r="I8" i="17"/>
  <c r="I16" i="17" s="1"/>
  <c r="I43" i="17"/>
  <c r="I38" i="17"/>
  <c r="I42" i="17"/>
  <c r="I44" i="17"/>
  <c r="I37" i="17"/>
  <c r="I39" i="17"/>
  <c r="I46" i="17"/>
  <c r="I29" i="17"/>
  <c r="I34" i="17"/>
  <c r="I48" i="17" l="1"/>
  <c r="I40" i="17"/>
  <c r="I49" i="17" l="1"/>
  <c r="F3" i="10" l="1"/>
  <c r="D4" i="10"/>
  <c r="K21" i="12" l="1"/>
  <c r="G13" i="12"/>
  <c r="S13" i="12" s="1"/>
  <c r="F4" i="10"/>
  <c r="S21" i="12" l="1"/>
  <c r="G19" i="12" l="1"/>
  <c r="S19" i="12" s="1"/>
  <c r="H43" i="1" l="1"/>
  <c r="I43" i="1" s="1"/>
  <c r="I44" i="1" s="1"/>
  <c r="H35" i="1"/>
  <c r="I35" i="1" s="1"/>
  <c r="H34" i="1"/>
  <c r="I34" i="1" s="1"/>
  <c r="H33" i="1"/>
  <c r="I33" i="1" s="1"/>
  <c r="H32" i="1"/>
  <c r="I32" i="1" s="1"/>
  <c r="H31" i="1"/>
  <c r="H30" i="1"/>
  <c r="H40" i="1"/>
  <c r="I40" i="1" s="1"/>
  <c r="H39" i="1"/>
  <c r="I39" i="1" s="1"/>
  <c r="H38" i="1"/>
  <c r="H12" i="1"/>
  <c r="H11" i="1"/>
  <c r="H26" i="1"/>
  <c r="H25" i="1"/>
  <c r="H24" i="1"/>
  <c r="H21" i="1"/>
  <c r="H27" i="1"/>
  <c r="H16" i="1"/>
  <c r="H15" i="1"/>
  <c r="H8" i="1"/>
  <c r="I8" i="1" s="1"/>
  <c r="I9" i="1" s="1"/>
  <c r="I30" i="1" l="1"/>
  <c r="I31" i="1"/>
  <c r="I36" i="1" l="1"/>
  <c r="I16" i="1"/>
  <c r="I15" i="1"/>
  <c r="I18" i="1" l="1"/>
  <c r="I11" i="1"/>
  <c r="I12" i="1"/>
  <c r="I38" i="1"/>
  <c r="I41" i="1" s="1"/>
  <c r="I13" i="1" l="1"/>
  <c r="I27" i="1"/>
  <c r="I24" i="1"/>
  <c r="I21" i="1"/>
  <c r="I22" i="1" s="1"/>
  <c r="I25" i="1" l="1"/>
  <c r="I26" i="1" l="1"/>
  <c r="I28" i="1" s="1"/>
  <c r="I45" i="1" l="1"/>
  <c r="G3" i="10" l="1"/>
  <c r="C6" i="12" s="1"/>
  <c r="S6" i="12" s="1"/>
  <c r="J44" i="1"/>
  <c r="J41" i="1"/>
  <c r="J18" i="1"/>
  <c r="J9" i="1"/>
  <c r="J36" i="1"/>
  <c r="J22" i="1"/>
  <c r="J13" i="1"/>
  <c r="J28" i="1"/>
  <c r="G17" i="12"/>
  <c r="S17" i="12" s="1"/>
  <c r="C26" i="12" l="1"/>
  <c r="J45" i="1"/>
  <c r="G11" i="12"/>
  <c r="G15" i="12" l="1"/>
  <c r="S15" i="12" s="1"/>
  <c r="G26" i="12"/>
  <c r="S11" i="12"/>
  <c r="O23" i="12" l="1"/>
  <c r="S23" i="12" s="1"/>
  <c r="K23" i="12"/>
  <c r="K26" i="12" s="1"/>
  <c r="O25" i="12" l="1"/>
  <c r="G4" i="10"/>
  <c r="I19" i="10" s="1"/>
  <c r="O26" i="12" l="1"/>
  <c r="S25" i="12"/>
  <c r="S26" i="12" l="1"/>
  <c r="S27" i="12" s="1"/>
  <c r="T25" i="12" s="1"/>
  <c r="T26" i="12" l="1"/>
  <c r="T13" i="12"/>
  <c r="T21" i="12"/>
  <c r="T19" i="12"/>
  <c r="C27" i="12"/>
  <c r="T6" i="12"/>
  <c r="T17" i="12"/>
  <c r="T15" i="12"/>
  <c r="T11" i="12"/>
  <c r="G27" i="12"/>
  <c r="T23" i="12"/>
  <c r="K27" i="12"/>
  <c r="O27" i="12"/>
  <c r="T27" i="12" l="1"/>
</calcChain>
</file>

<file path=xl/sharedStrings.xml><?xml version="1.0" encoding="utf-8"?>
<sst xmlns="http://schemas.openxmlformats.org/spreadsheetml/2006/main" count="1202" uniqueCount="366">
  <si>
    <t xml:space="preserve">PLANILHA ORÇAMENTÁRIA </t>
  </si>
  <si>
    <t>OBRA:</t>
  </si>
  <si>
    <t>PAVIMENTAÇÃO ASFÁTICA E OBRAS COMPLEMENTARES</t>
  </si>
  <si>
    <t>LOCAL:</t>
  </si>
  <si>
    <t>RUA  8; RUA 9; RUA 10 E RUA SEBASTIÃO AUGUSTO INÁCIO- JARDIM IPANEMA-REGISTRO - SP</t>
  </si>
  <si>
    <t>ITEM</t>
  </si>
  <si>
    <t>FONTE</t>
  </si>
  <si>
    <t>CODIGO</t>
  </si>
  <si>
    <t xml:space="preserve">DISCRIMINAÇÃO DOS SERVIÇOS </t>
  </si>
  <si>
    <t>UNID</t>
  </si>
  <si>
    <t>QUANT</t>
  </si>
  <si>
    <t>P. UNIT.</t>
  </si>
  <si>
    <t>P. UNIT.(R$)</t>
  </si>
  <si>
    <t xml:space="preserve">SUBTOTAL </t>
  </si>
  <si>
    <t>% DO ITEM</t>
  </si>
  <si>
    <t>( R$ )</t>
  </si>
  <si>
    <t>C/BDI 24,03%</t>
  </si>
  <si>
    <t>SERVIÇOS PRELIMINARES</t>
  </si>
  <si>
    <t>1.1</t>
  </si>
  <si>
    <t>SINAPI/MAIO/15</t>
  </si>
  <si>
    <t>74209/001</t>
  </si>
  <si>
    <t>PLACA DE OBRA EM CHAPA DE ACO GALVANIZADO</t>
  </si>
  <si>
    <t>M²</t>
  </si>
  <si>
    <t>SUBSTITUIÇÃO DE SOLO/TERRAPLENAGEM</t>
  </si>
  <si>
    <t>1.2</t>
  </si>
  <si>
    <t>ESCAVACAO, CARGA E TRANSPORTE DE MATERIAL DE 1A CATEGORIA, CAMINHO DE SERVICO LEITO NATURAL, COM ESCAVADEIRA HIDRAULICA E CAMINHAO BASCULANTE 6 M3, DMT 50 ATE 200 M</t>
  </si>
  <si>
    <t>M³</t>
  </si>
  <si>
    <t>1.3</t>
  </si>
  <si>
    <t>74010/001</t>
  </si>
  <si>
    <t>CARGA E DESCARGA MECANICA DE SOLO UTILIZANDO CAMINHAO BASCULANTE 5,0M3/11T E PA CARREGADEIRA SOBRE PNEUS * 105 HP * CAP. 1,72M3.</t>
  </si>
  <si>
    <t>1.4</t>
  </si>
  <si>
    <t>74034/001</t>
  </si>
  <si>
    <t>ESPALHAMENTO DE MATERIAL DE 1A CATEGORIA COM TRATOR DE ESTEIRA COM 153HP</t>
  </si>
  <si>
    <t>1.5</t>
  </si>
  <si>
    <t>COMPACTACAO MECANICA A 95% DO PROCTOR NORMAL - PAVIMENTACAO URBANA</t>
  </si>
  <si>
    <t>REFORÇO DE SUB-LEITO</t>
  </si>
  <si>
    <t>1.6</t>
  </si>
  <si>
    <t>REFORÇO DE SUB-LEITO/SUB-BASE DE SOLO MELHORADO COM BRITA 50,0% EM VOLUME COM COMPACTAÇÃO (E=0,20M)</t>
  </si>
  <si>
    <t>TOTAL DO ITEM</t>
  </si>
  <si>
    <t>PAVIMENTAÇÃO ASFÁLTICA</t>
  </si>
  <si>
    <t>SUB-BASE</t>
  </si>
  <si>
    <t>2.1</t>
  </si>
  <si>
    <t>ABERTURA DE CAIXA ATÉ 40CM, INCLUI ESCAVAÇÃO, COMPACTAÇÃO, TRANSPORTE E PREPARO DO SUB-LEITO</t>
  </si>
  <si>
    <t>2.2</t>
  </si>
  <si>
    <t>REGULARIZACAO E COMPACTACAO DE SUBLEITO ATE 20 CM DE ESPESSURA</t>
  </si>
  <si>
    <t>BASE</t>
  </si>
  <si>
    <t>2.3</t>
  </si>
  <si>
    <t>BASE PARA PAVIMENTACAO COM BRITA GRADUADA, INCLUSIVE COMPACTACAO</t>
  </si>
  <si>
    <t>2.4</t>
  </si>
  <si>
    <t>CARGA, MANOBRAS E DESCARGA DE MISTURA BETUMINOSA A QUENTE, COM CAMINHAO BASCULANTE 6 M3, DESCARGA EM VIBRO-ACABADORA</t>
  </si>
  <si>
    <t>2.5</t>
  </si>
  <si>
    <t>IMPRIMACAO DE BASE DE PAVIMENTACAO COM EMULSAO CM-30</t>
  </si>
  <si>
    <t>2.6</t>
  </si>
  <si>
    <t>PINTURA DE LIGACAO COM EMULSAO RR-1C</t>
  </si>
  <si>
    <t>2.7</t>
  </si>
  <si>
    <t>FABRICAÇÃO E APLICAÇÃO DE CONCRETO BETUMINOSO USINADO A QUENTE (CBUQ),CAP 50/70, CAMADA DE ROLAMENTO, EXCLUSIVE TRANSPORTE (E=0,030M)</t>
  </si>
  <si>
    <t>T</t>
  </si>
  <si>
    <t>2.8</t>
  </si>
  <si>
    <t>TRANSPORTE COMERCIAL COM CAMINHAO BASCULANTE 6 M3, RODOVIA PAV.</t>
  </si>
  <si>
    <t>T*KM</t>
  </si>
  <si>
    <t>GUIAS E SARJETAS EXTRUSADAS</t>
  </si>
  <si>
    <t>3.1</t>
  </si>
  <si>
    <t>ESCAVACAO E ACERTO MANUAL NA FAIXA DE 0,45M DE LARGURA P/ EXECUCAO DE MEIO-FIO E SARJETA CONJUGADOS</t>
  </si>
  <si>
    <t>M</t>
  </si>
  <si>
    <t>3.2</t>
  </si>
  <si>
    <t>73763/004</t>
  </si>
  <si>
    <t>MEIO-FIO E SARJETA CONJUGADOS DE CONCRETO 15 MPA, 35 CM BASE X 30 CM ALTURA, MOLDADO "IN LOCO" COM EXTRUSORA</t>
  </si>
  <si>
    <t>SINALIZAÇÃO/PLACA DA OBRA</t>
  </si>
  <si>
    <t>4.1</t>
  </si>
  <si>
    <t>SINALIZACAO HORIZONTAL COM TINTA RETRORREFLETIVA A BASE DE RESINA ACRILICA COM MICROESFERAS DE VIDRO</t>
  </si>
  <si>
    <t>4.2</t>
  </si>
  <si>
    <t>73916/002</t>
  </si>
  <si>
    <t>SINALIZACAO VERTICAL EM PLACA DE AÇO GALVANIZADA COM PINTURA EM ESMALTE SINTÉTICO, INCLUSIVE PP E ACESSÓRIOS</t>
  </si>
  <si>
    <t>4.3</t>
  </si>
  <si>
    <t>PLACA ESMALTADA PARA IDENTIFICAÇÃO NR DE RUA, DIMENSÕES 45X25CM</t>
  </si>
  <si>
    <t>RAMPA PARA ACESSIBILIDADE/CALÇADAS/GRAMA</t>
  </si>
  <si>
    <t>5.1</t>
  </si>
  <si>
    <t>73948/016</t>
  </si>
  <si>
    <t>LIMPEZA MANUAL DO TERRENO (C/ RASPAGEM SUPERFICIAL)</t>
  </si>
  <si>
    <t>5.2</t>
  </si>
  <si>
    <t>REGULARIZACAO E COMPACTACAO MANUAL DE TERRENO COM SOQUETE</t>
  </si>
  <si>
    <t>5.3</t>
  </si>
  <si>
    <t>74164/004</t>
  </si>
  <si>
    <t>LASTRO DE BRITA</t>
  </si>
  <si>
    <t>5.4</t>
  </si>
  <si>
    <t>73892/002</t>
  </si>
  <si>
    <t>5.5</t>
  </si>
  <si>
    <t>74245/001</t>
  </si>
  <si>
    <t>PINTURA ACRILICA EM PISO CIMENTADO DUAS DEMAOS</t>
  </si>
  <si>
    <t>5.6</t>
  </si>
  <si>
    <t>PLANTIO DE GRAMA ESMERALDA EM ROLO</t>
  </si>
  <si>
    <t>5.7</t>
  </si>
  <si>
    <t>LIMPEZA FINAL DA OBRA</t>
  </si>
  <si>
    <t>FONTE:  TABELA SINAP/MAIO 2015 -TABELA SIURB JAN/2015  BDI: 24,03%</t>
  </si>
  <si>
    <t>REGISTRO, 17 DE JULHO DE 2015.-</t>
  </si>
  <si>
    <t>ROBERTO FRANCELINO DA SILVA</t>
  </si>
  <si>
    <t>SECRETÁRIO MUNICIPAL DE PLANEJAMENTO URBANO E OBRAS</t>
  </si>
  <si>
    <t>CHEFE DE DIV. TÉC. DE PROJ. E MANUT. DA REDE FÍS. MUNICIPAL</t>
  </si>
  <si>
    <t>TOTAL  GERAL</t>
  </si>
  <si>
    <t>ENG.MARILAYNE DE B. MALTA CUGLER - CREA:50.611.220-57</t>
  </si>
  <si>
    <t>EXECUÇÃO DE PASSEIO (CALÇADA) EM CONCRETO 12 MPA, TRAÇO 1:3:5 (CIMENTO/AREIA/BRITA), PREPARO MECÂNICO, ESPESSURA 7CM, COM JUNTA DE DILATAÇÃO EM MADEIRA, INCLUSO LANÇAMENTO E ADENSAMENTO</t>
  </si>
  <si>
    <t>RELAÇÃO DAS RUAS A SEREM PAVIMENTADAS</t>
  </si>
  <si>
    <t>N°</t>
  </si>
  <si>
    <t>BAIRRO</t>
  </si>
  <si>
    <t xml:space="preserve">DESCRIÇÃO RUA </t>
  </si>
  <si>
    <t>COMP(m)</t>
  </si>
  <si>
    <t>LARG(m)</t>
  </si>
  <si>
    <t>Á(m²)</t>
  </si>
  <si>
    <t>Valor (R$)</t>
  </si>
  <si>
    <t xml:space="preserve">Jardim Ipanema </t>
  </si>
  <si>
    <t>Rua Sebastião Augusto Inácio/                          Rua 8/ Rua 9/ RUA 10</t>
  </si>
  <si>
    <t>VALOR TOTAL...........................................................................................................................................................</t>
  </si>
  <si>
    <t>ENG. MARILAYNE DE B. M. CUGLER-CREA: 50.611.220-57</t>
  </si>
  <si>
    <t>CHEFE DE DIV.TÉC. DE PROJ. E MAN. DA REDE FÍS. MUNICIPAL</t>
  </si>
  <si>
    <t>FONTE:  TABELA SINAP/MAIO 2015 -TABELA SIURB JANEIRO/2015  BDI: 24,03%</t>
  </si>
  <si>
    <t xml:space="preserve">                                                       REGISTRO, 17 DE JULHO DE 2015.</t>
  </si>
  <si>
    <t>Item</t>
  </si>
  <si>
    <t>Descrição</t>
  </si>
  <si>
    <t>Participação %</t>
  </si>
  <si>
    <t>REGISTRO, 17 DE JULHO DE 2015.</t>
  </si>
  <si>
    <t>CRONOGRAMA FISICO FINANCEIRO</t>
  </si>
  <si>
    <t>1º Mês</t>
  </si>
  <si>
    <t>2º Mês</t>
  </si>
  <si>
    <t>3º Mês</t>
  </si>
  <si>
    <t>4º Mês</t>
  </si>
  <si>
    <t>Valor do  Item (R$)</t>
  </si>
  <si>
    <t>Rua Sebastião Augusto Inácio/Rua 8/Rua9/Rua 10  -  Jardim Ipanema</t>
  </si>
  <si>
    <t xml:space="preserve"> </t>
  </si>
  <si>
    <t>Total Mensal (R$)</t>
  </si>
  <si>
    <t>Percentual Mensal(%)</t>
  </si>
  <si>
    <t>ENG. MARILAYNE DE BRITO MALTA CUGLER-CREA:50.611.220-57</t>
  </si>
  <si>
    <t>RUA SEBASTIÃO AUGUSTO INÁCIO- JARDIM IPANEMA-REGISTRO - SP</t>
  </si>
  <si>
    <t>PLACA DA OBRA:A=(3,20X2,00)</t>
  </si>
  <si>
    <t>ABERTURA DE CAIXA:</t>
  </si>
  <si>
    <t>LARGURA DA RUA:</t>
  </si>
  <si>
    <t>ÁREA:</t>
  </si>
  <si>
    <t>SUBSTITUIÇÃO DE SOLO/REFORÇO/BASE/CARGA:</t>
  </si>
  <si>
    <t>ESPESSURA</t>
  </si>
  <si>
    <t>VOLUME:</t>
  </si>
  <si>
    <t>REGULARIZAÇÃO:</t>
  </si>
  <si>
    <t>IMPRIMAÇÃO:</t>
  </si>
  <si>
    <t>PINTURA:</t>
  </si>
  <si>
    <t>BASE BRITA:</t>
  </si>
  <si>
    <t>ESPESSURA:</t>
  </si>
  <si>
    <t>CONCRETO BETUMINOSO USINADO A QUENTE (CBUQ):</t>
  </si>
  <si>
    <t>DENSIDADE:</t>
  </si>
  <si>
    <t>TOTAL:</t>
  </si>
  <si>
    <t>CARGA:</t>
  </si>
  <si>
    <t>TRANSPORTE:</t>
  </si>
  <si>
    <t>CBUQ</t>
  </si>
  <si>
    <t>KILOMETRAGEM</t>
  </si>
  <si>
    <t>KM</t>
  </si>
  <si>
    <t>GUIAS E SARJETAS:</t>
  </si>
  <si>
    <t>COMPRIMENTO:</t>
  </si>
  <si>
    <t xml:space="preserve">SINALIZAÇÃO HORIZONTAL: </t>
  </si>
  <si>
    <t>FAIXA CENTRAL: AMARELA(2 UNID)</t>
  </si>
  <si>
    <t>FAIXA PEDESTRES: BRANCA</t>
  </si>
  <si>
    <t>TOTAL............................................................................................................</t>
  </si>
  <si>
    <t>SINALIZAÇÃO VERTICAL: (RR)</t>
  </si>
  <si>
    <t>SINALIZAÇÃO VERTICAL: (PMR)</t>
  </si>
  <si>
    <t>LIMPEZA DO TERRENO: (2 LADOS)</t>
  </si>
  <si>
    <t>REGULARIZAÇÃO P/CALÇADA:(2 LADOS)*0,05M</t>
  </si>
  <si>
    <t>BASE DE BRITA P/CALÇADA:(2 LADOS)*0,05M</t>
  </si>
  <si>
    <t>PASSEIO (CALÇADA) EM CONCRETO: (2 LADOS)</t>
  </si>
  <si>
    <t>ACESSIBILIDADE:</t>
  </si>
  <si>
    <t>PINTURA ACRÍLICA:</t>
  </si>
  <si>
    <t>PLANTIO DE GRAMA:</t>
  </si>
  <si>
    <t>LIMPEZA FINAL:PAVIMENTO</t>
  </si>
  <si>
    <t>FONTE:  TABELA SINAP/MAIO-2015 -  SIURB/JAN/2015 BDI: 24,03%</t>
  </si>
  <si>
    <t>_________________________________________________________________________________________</t>
  </si>
  <si>
    <t xml:space="preserve"> MEMÓRIAS DE CÁLCULO: RUA  8; RUA SEBASTIÃO AUGUSTO INÁCIO -  JARDIM IPANEMA-REGISTRO - SP</t>
  </si>
  <si>
    <t>EXECUÇÃO DE PASSEIO (CALÇADA) EM CONCRETO, TRAÇO 1:3:5 (CIMENTO/AREIA/BRITA), PREPARO MECÂNICO, ESPESSURA 7CM, COM JUNTA DE DILATAÇÃO EM MADEIRA, INCLUSO LANÇAMENTO E ADENSAMENTO</t>
  </si>
  <si>
    <t>73892/001</t>
  </si>
  <si>
    <t>SINAPI/SET/15</t>
  </si>
  <si>
    <t>SIURB/JUL/15</t>
  </si>
  <si>
    <t>05-65-00</t>
  </si>
  <si>
    <t>05-10-00</t>
  </si>
  <si>
    <t>EXTENSÃO DAS RUAS:</t>
  </si>
  <si>
    <t>Área pelo projeto (Ferramenta do Autocad)</t>
  </si>
  <si>
    <t>Diferença (geometria encontro de ruas)</t>
  </si>
  <si>
    <t>Ok!</t>
  </si>
  <si>
    <t>Área de pavimentação</t>
  </si>
  <si>
    <t xml:space="preserve">GUIAS E SARJETAS </t>
  </si>
  <si>
    <t>TERRAPLENAGEM</t>
  </si>
  <si>
    <t>6.1</t>
  </si>
  <si>
    <t>6.2</t>
  </si>
  <si>
    <t>6.3</t>
  </si>
  <si>
    <t>6.4</t>
  </si>
  <si>
    <t>6.5</t>
  </si>
  <si>
    <t>6.6</t>
  </si>
  <si>
    <t xml:space="preserve"> ACESSIBILIDADE, CALÇADA E GRAMA</t>
  </si>
  <si>
    <t>SINALIZAÇÃO VERTICAL E HORIZONTAL</t>
  </si>
  <si>
    <t>7.1</t>
  </si>
  <si>
    <t>7.2</t>
  </si>
  <si>
    <t>7.3</t>
  </si>
  <si>
    <t>3.3</t>
  </si>
  <si>
    <t>LIMPEZA FINAL</t>
  </si>
  <si>
    <t>TOTAL  GERAL (R$)</t>
  </si>
  <si>
    <t>3.4</t>
  </si>
  <si>
    <t>3.5</t>
  </si>
  <si>
    <t>ESCAVACAO MECANICA, A CEU ABERTO, EM MATERIAL DE 1A CATEGORIA, COM ESCAVADEIRA HIDRAULICA, CAPACIDADE DE 0,78 M3</t>
  </si>
  <si>
    <t>CARGA E DESCARGA MECANICA DE SOLO UTILIZANDO CAMINHAO BASCULANTE 6,0M3 /16T E PA CARREGADEIRA SOBRE PNEUS 128 HP, CAPACIDADE DA CAÇAMBA 1,7 A 2,8 M3, PESO OPERACIONAL 11632 KG</t>
  </si>
  <si>
    <t>74151/001</t>
  </si>
  <si>
    <t>ESCAVACAO E CARGA MATERIAL 1A CATEGORIA, UTILIZANDO TRATOR DE ESTEIRAS DE 110 A 160HP COM LAMINA, PESO OPERACIONAL * 13T E PA CARREGADEIRA COM 170 HP.</t>
  </si>
  <si>
    <t>3.6</t>
  </si>
  <si>
    <t>TRANSPORTE LOCAL DE MASSA ASFALTICA - PAVIMENTACAO URBANA</t>
  </si>
  <si>
    <t xml:space="preserve"> CALÇADA E ACESSIBILIDADE</t>
  </si>
  <si>
    <t>3.7</t>
  </si>
  <si>
    <t>ESPALHAMENTO DE MATERIAL EM BOTA FORA, COM UTILIZACAO DE TRATOR DE ESTEIRAS DE 165 HP</t>
  </si>
  <si>
    <t>TRANSPORTE LOCAL COM CAMINHAO BASCULANTE 6 M3, RODOVIA PAVIMENTADA ( PARA DISTANCIAS SUPERIORES A 4 KM )</t>
  </si>
  <si>
    <t>M³xKm</t>
  </si>
  <si>
    <t>3.8</t>
  </si>
  <si>
    <t>3.9</t>
  </si>
  <si>
    <t>00006077</t>
  </si>
  <si>
    <t>ARGILA OU BARRO PARA ATERRO/REATERRO (RETIRADO NA JAZIDA, SEM TRANSPORTE)</t>
  </si>
  <si>
    <t>TRANSPORTE LOCAL COM CAMINHÃO BASCULANTE 6 M3, RODOVIA COM REVESTIMENTO PRIMARIO</t>
  </si>
  <si>
    <t>MEMÓRIA DE CÁLCULO</t>
  </si>
  <si>
    <t>Observações</t>
  </si>
  <si>
    <t>Medida 3,20 X 2,0</t>
  </si>
  <si>
    <t>Extensão em metros conforme projeto</t>
  </si>
  <si>
    <t>Área de pavimentação de projeto (4.953,22 m²) x Profundidade de escavação (40 cm)</t>
  </si>
  <si>
    <t>Volume de escavação (1.981,29 m³) x Porcentagem de empolamento (15 %)</t>
  </si>
  <si>
    <t>ABERTURA DE CAIXA</t>
  </si>
  <si>
    <t>Bota-fora na Distância de 6 Km (ida)</t>
  </si>
  <si>
    <t>PINTURA DE LIGACAO COM EMULSAO RR-1C.</t>
  </si>
  <si>
    <t>IMPRIMACAO DE BASE DE PAVIMENTACAO COM EMULSAO CM-30.</t>
  </si>
  <si>
    <t>SINALIZACAO HORIZONTAL COM TINTA RETRORREFLETIVA A BASE DE RESINA ACRILICA COM MICROESFERAS DE VIDRO.</t>
  </si>
  <si>
    <t>Unid.</t>
  </si>
  <si>
    <t xml:space="preserve"> CALÇADA E RAMPA DE ACESSIBILIDADE</t>
  </si>
  <si>
    <t>m²</t>
  </si>
  <si>
    <t>m</t>
  </si>
  <si>
    <t>m³</t>
  </si>
  <si>
    <t>m³xKm</t>
  </si>
  <si>
    <t>PREPARO MANUAL DE TERRENO S/ RASPAGEM SUPERFICIAL</t>
  </si>
  <si>
    <t>73822/002</t>
  </si>
  <si>
    <t>SINALIZAÇÃO HORIZONTAL E IDENTIFICAÇÃO</t>
  </si>
  <si>
    <t>LIMPEZA MECANIZADA DE TERRENO COM REMOCAO DE CAMADA VEGETAL, UTILIZANDO MOTONIVELADORA.</t>
  </si>
  <si>
    <t>CARGA, MANOBRAS E DESCARGA DE MISTURA BETUMINOSA A QUENTE, COM CAMINHAO BASCULANTE 6 m³, DESCARGA EM VIBRO-ACABADORA.</t>
  </si>
  <si>
    <t>REGULARIZACAO E COMPACTACAO DE SUBLEITO ATE 20 cm DE ESPESSURA.</t>
  </si>
  <si>
    <t>CARGA E DESCARGA MECANICA DE SOLO UTILIZANDO CAMINHAO BASCULANTE 6,0M3 /16T E PA CARREGADEIRA SOBRE PNEUS 128 HP, CAPACIDADE DA CAÇAMBA 1,7 A 2,8 m³, PESO OPERACIONAL 11632 Kg (15% EMPOLAMENTO).</t>
  </si>
  <si>
    <t>ESCAVACAO E ACERTO MANUAL NA FAIXA DE 0,45 m DE LARGURA P/ EXECUCAO DE MEIO-FIO E SARJETA CONJUGADOS.</t>
  </si>
  <si>
    <t>MEIO-FIO E SARJETA CONJUGADOS DE CONCRETO 15 MPA, 35 cm BASE x 30 cm ALTURA, MOLDADO "IN LOCO" COM EXTRUSORA.</t>
  </si>
  <si>
    <t>m³xkm</t>
  </si>
  <si>
    <t>T*km</t>
  </si>
  <si>
    <t>ENG.SÉRGIO RICARDO MUNIZ - CREA/SP:5060513627</t>
  </si>
  <si>
    <t>CHEFE DE DIV. TÉC. DE PROJ. DE ENG. E MANUT. DA REDE FÍSICA DA SAÚDE</t>
  </si>
  <si>
    <t>PAVIMENTAÇÃO ASFÁLTICA E OBRAS COMPLEMENTARES E CONSTRUÇÃO DE CALÇADAS</t>
  </si>
  <si>
    <t>FONTE:  TABELA SINAPI COM DESONERAÇÃO DE OUT 2015 E BDI: 24,03%</t>
  </si>
  <si>
    <t>REGISTRO, 17 DE FEVEREIRO DE 2016.</t>
  </si>
  <si>
    <t>SINAPI/JAN/16</t>
  </si>
  <si>
    <t>FONTE:  TABELA SINAPI COM DESONERAÇÃO DE JAN 2016 E BDI: 24,03%</t>
  </si>
  <si>
    <t>TUBO DE AÇO GALVANIZADO COM COSTURA, CLASSE MÉDIA, CONEXÃO RANHURADA, DN 65 (2 1/2")</t>
  </si>
  <si>
    <t>2.9</t>
  </si>
  <si>
    <t>2.10</t>
  </si>
  <si>
    <t>2.11</t>
  </si>
  <si>
    <t>2.12</t>
  </si>
  <si>
    <t>4.4</t>
  </si>
  <si>
    <t>4.5</t>
  </si>
  <si>
    <t>4.6</t>
  </si>
  <si>
    <t>PAVIMENTAÇÃO ASFÁLTICA E OBRAS COMPLEMENTARES</t>
  </si>
  <si>
    <t>RUAS BAMBU, CEREJEIRAS, MACIEIRAS E VER. DANIEL AGUILAR DE SOUZA, BAIRRO ARAPONGAL - REGISTRO - SP</t>
  </si>
  <si>
    <t>TRANSPORTE COMERCIAL COM CAMINHAO BASCULANTE 6 m³, RODOVIA PAVIMENTADA (BOTA-FORA, DISTÂNCIA=9,0 km).</t>
  </si>
  <si>
    <t>ESCAVACAO E CARGA MATERIAL 1A CATEGORIA, UTILIZANDO TRATOR DE ESTEIRAS DE 110 A 160HP COM LAMINA, PESO OPERACIONAL * 13T E PA CARREGADEIRA COM 170 HP(EMPRÉSTIMO, ESPESSURA=0,20 m, 14% EMPOLAMENTO).</t>
  </si>
  <si>
    <t>TRANSPORTE COMERCIAL COM CAMINHAO BASCULANTE 6 M3, RODOVIA COM REVESTIMENTO PRIMÁRIO (EMPRÉSTIMO, DISTÂNCIA=14 km).</t>
  </si>
  <si>
    <t>BASE PARA PAVIMENTACAO COM BRITA GRADUADA, INCLUSIVE COMPACTACAO (ESPESSURA=0,20 m).</t>
  </si>
  <si>
    <t>FABRICAÇÃO E APLICAÇÃO DE CONCRETO BETUMINOSO USINADO A QUENTE (CBUQ),CAP 50/70, CAMADA DE ROLAMENTO, EXCLUSIVE TRANSPORTE (ESPESSURA=0,03m).</t>
  </si>
  <si>
    <t>TRANSPORTE LOCAL DE MASSA ASFALTICA - PAVIMENTACAO URBANA (DISTÂNCIA=40km).</t>
  </si>
  <si>
    <t>PLACA ESMALTADA PARA IDENTIFICAÇÃO NR DE RUA, DIMENSÕES 45 cm x 25 cm.</t>
  </si>
  <si>
    <t>EXECUÇÃO DE PASSEIO (CALÇADA) EM CONCRETO 12 MPa, TRAÇO 1:3:5 (CIMENTO/AREIA/BRITA), PREPARO MECÂNICO, ESPESSURA=7 cm, COM JUNTA DE DILATAÇÃO EM MADEIRA, INCLUSO LANÇAMENTO E ADENSAMENTO (LARGURA=1,20m).</t>
  </si>
  <si>
    <t>LASTRO DE BRITA (ESPESSURA=0,05 m).</t>
  </si>
  <si>
    <t>REGULARIZACAO E COMPACTACAO MANUAL DE TERRENO COM SOQUETE(LARGURA=1,20 m).</t>
  </si>
  <si>
    <t>t</t>
  </si>
  <si>
    <t>t*km</t>
  </si>
  <si>
    <t>ESCAVACAO MECANICA, A CEU ABERTO, EM MATERIAL DE 1A CATEGORIA, COM ESCAVADEIRA HIDRAULICA, CAPACIDADE DE 0,78 m³ (BOTA-FORA, ESPESSURA=0,40 m).</t>
  </si>
  <si>
    <t>ACESSIBILIDADE</t>
  </si>
  <si>
    <t>SINALIZAÇÃO HORIZONTAL E DE IDENTIFICAÇÃO</t>
  </si>
  <si>
    <t xml:space="preserve">ART N° </t>
  </si>
  <si>
    <t>ART N°</t>
  </si>
  <si>
    <t>ESCAVACAO E CARGA MATERIAL 1A CATEGORIA, UTILIZANDO TRATOR DE ESTEIRAS DE 110 A 160HP COM LAMINA, PESO OPERACIONAL * 13T E PA CARREGADEIRA COM 170 HP(EMPRÉSTIMO, ESPESSURA=0,20 m, 15% EMPOLAMENTO).</t>
  </si>
  <si>
    <t>RUAS BAMBU, CEREJEIRA, MACIEIRA E VER. DANIEL AGUILAR DE SOUZA, BAIRRO ARAPONGAL - REGISTRO - SP</t>
  </si>
  <si>
    <t>C/BDI 26,75%</t>
  </si>
  <si>
    <t>LASTRO DE BRITA (ESPESSURA=0,04 m).</t>
  </si>
  <si>
    <t>FONTE:  TABELA SINAPI COM DESONERAÇÃO DE FEV 2016 E BDI: 26,75%</t>
  </si>
  <si>
    <t>SINAPI/FEV/16</t>
  </si>
  <si>
    <t>TRANSPORTE COMERCIAL COM CAMINHAO BASCULANTE 6 m³, RODOVIA PAVIMENTADA (BOTA-FORA, DISTÂNCIA= 9,0 km).</t>
  </si>
  <si>
    <t>TRANSPORTE COMERCIAL COM CAMINHAO BASCULANTE 6 M3, RODOVIA COM REVESTIMENTO PRIMÁRIO (EMPRÉSTIMO, DISTÂNCIA=14,00 km).</t>
  </si>
  <si>
    <t>TRANSPORTE LOCAL DE MASSA ASFALTICA - PAVIMENTACAO URBANA (DISTÂNCIA=33 km).</t>
  </si>
  <si>
    <t>REGISTRO, 29 DE MARÇO DE 2016.</t>
  </si>
  <si>
    <t>CAMADA DE ROLAMENTO</t>
  </si>
  <si>
    <t>SUBSTITUIÇÃO DE SOLO</t>
  </si>
  <si>
    <t>ESCAVACAO E CARGA MATERIAL 1A CATEGORIA, UTILIZANDO TRATOR DE ESTEIRAS DE 110 A 160HP COM LAMINA, PESO OPERACIONAL * 13T E PA CARREGADEIRA COM 170 HP</t>
  </si>
  <si>
    <t>ABERTURA E PREPARO DE CAIXA ATÉ 40CM, COMPACTACAO DO SUBLEITO MÍNIMO DE 95% PN E TRANSPORTE ATÉ O RAIO DE 1,0 KM</t>
  </si>
  <si>
    <t>54.01.030</t>
  </si>
  <si>
    <t>EXECUÇÃO DE PASSEIO (CALÇADA) OU PISO DE CONCRETO COM CONCRETO MOLDADO IN LOCO, USINADO, ACABAMENTO CONVENCIONAL, NÃO ARMADO. AF_07/2016</t>
  </si>
  <si>
    <t>SINALIZAÇÃO</t>
  </si>
  <si>
    <t>97.05.100</t>
  </si>
  <si>
    <t>SINALIZAÇÃO VERTICAL EM PLACA DE AÇO GALVANIZADA COM PINTURA EM ESMALTE SINTÉTICO</t>
  </si>
  <si>
    <t>46.08.050</t>
  </si>
  <si>
    <t>TUBO AÇO GALVANIZADO SEM COSTURA SCHEDULE 40, DN = 2", INCLUSIVE CONEXÕES</t>
  </si>
  <si>
    <t>DRENAGEM</t>
  </si>
  <si>
    <t>49.12.030</t>
  </si>
  <si>
    <t>BOCA DE LOBO DUPLA TIPO PMSP, COM TAMPA DE CONCRETO</t>
  </si>
  <si>
    <t>ESCAVACAO MECANICA DE VALA EM MATERIAL DE 2A. CATEGORIA ATE 2 M DE PROFUNDIDADE COM UTILIZACAO DE ESCAVADEIRA HIDRAULICA</t>
  </si>
  <si>
    <t>TUBO DE CONCRETO PARA REDES COLETORAS DE ÁGUAS PLUVIAIS, DIÂMETRO DE 400 MM, JUNTA RÍGIDA, INSTALADO EM LOCAL COM BAIXO NÍVEL DE INTERFERÊNCIAS - FORNECIMENTO E ASSENTAMENTO. AF_12/2015</t>
  </si>
  <si>
    <t>TUBO DE CONCRETO PARA REDES COLETORAS DE ÁGUAS PLUVIAIS, DIÂMETRO DE 600 MM, JUNTA RÍGIDA, INSTALADO EM LOCAL COM BAIXO NÍVEL DE INTERFERÊNCIAS - FORNECIMENTO E ASSENTAMENTO. AF_12/2015</t>
  </si>
  <si>
    <t>EXECUÇÃO DE SARJETÃO DE CONCRETO USINADO, MOLDADA IN LOCO EM TRECHO RETO, 100 CM BASE X 20 CM ALTURA. AF_06/2016</t>
  </si>
  <si>
    <t>5.8</t>
  </si>
  <si>
    <t>5.9</t>
  </si>
  <si>
    <t>BOCA P/BUEIRO SIMPLES TUBULAR D=0,60M EM CONCRETO CICLOPICO, INCLUINDO FORMAS, ESCAVACAO, REATERRO E MATERIAIS, EXCLUINDO MATERIAL REATERRO JAZIDA E TRANSPORTE</t>
  </si>
  <si>
    <t>73856/002</t>
  </si>
  <si>
    <t>5.10</t>
  </si>
  <si>
    <t>5.11</t>
  </si>
  <si>
    <t>PISO EM LADRILHO HIDRÁULICO PODOTÁTIL VÁRIAS CORES (25X25X2,5CM), ASSENTADO COM ARGAMASSA MISTA</t>
  </si>
  <si>
    <t>30.04.030</t>
  </si>
  <si>
    <t>TERRAPLANAGEM</t>
  </si>
  <si>
    <t xml:space="preserve">PAVIMENTAÇÃO </t>
  </si>
  <si>
    <t>LASTRO COM PREPARO DE FUNDO, LARGURA MAIOR OU IGUAL A 1,5 M, COM CAMADA DE BRITA, LANÇAMENTO MECANIZADO, EM LOCAL COM NÍVEL BAIXO DE INTERFERÊNCIA. AF_06/2016</t>
  </si>
  <si>
    <t xml:space="preserve">CALÇADA </t>
  </si>
  <si>
    <t>REATERRO MANUAL DE VALAS COM COMPACTAÇÃO MECANIZADA. AF_04/2016</t>
  </si>
  <si>
    <t>CAIAÇÃO EM MEIO FIO</t>
  </si>
  <si>
    <t>54.01.010</t>
  </si>
  <si>
    <t>REGULARIZAÇÃO E COMPACTAÇÃO MECANIZADA DE SUPERFÍCIE, SEM CONTROLE DO PROCTOR NORMAL</t>
  </si>
  <si>
    <t>TRANSPORTE COM CAMINHÃO BASCULANTE DE 10 M3, EM VIA URBANA PAVIMENTADA, DMT ACIMA DE 30KM (UNIDADE: M3XKM). AF_04/2016</t>
  </si>
  <si>
    <t>M³xKM</t>
  </si>
  <si>
    <t>49.12.010</t>
  </si>
  <si>
    <t>BOCA DE LOBO SIMPLES TIPO PMSP, COM TAMPA DE CONCRETO</t>
  </si>
  <si>
    <t>73856/001</t>
  </si>
  <si>
    <t>BOCA P/BUEIRO SIMPLES TUBULAR D=0,40M EM CONCRETO CICLOPICO, INCLUINDO FORMAS, ESCAVACAO, REATERRO E MATERIAIS, EXCLUINDO MATERIAL REATERRO JAZIDA E TRANSPORTE</t>
  </si>
  <si>
    <t>GUIA (MEIO-FIO) E SARJETA CONJUGADOS DE CONCRETO, MOLDADA IN LOCO EM TRECHO RETO COM EXTRUSORA, 45 CM BASE (15 CM BASE DA GUIA + 30 CM BASE DA SARJETA) X 22 CM ALTURA. AF_06/2016</t>
  </si>
  <si>
    <t>CONCRETO CICLOPICO FCK=10MPA 30% PEDRA DE MAO INCLUSIVE LANCAMENTO (MURO DE ARRIMO)</t>
  </si>
  <si>
    <t>EVERTON DIEGO M. PAULINO</t>
  </si>
  <si>
    <t>ENGENHEIRO CIVIL - CREA/SP: 5061470477</t>
  </si>
  <si>
    <t>SINAPI/JUN/20</t>
  </si>
  <si>
    <t>CPOS/MAR/20</t>
  </si>
  <si>
    <t>PLACA DE OBRA (PARA CONSTRUCAO CIVIL) EM CHAPA GALVANIZADA *N. 22*, ADESIVADA, DE *2,0 X 1,125* M</t>
  </si>
  <si>
    <t>PLANTIO DE GRAMA EM PLACAS. AF_05/2018</t>
  </si>
  <si>
    <t>ESPALHAMENTO DE MATERIAL COM TRATOR DE ESTEIRAS. AF_11/2019</t>
  </si>
  <si>
    <t>100576</t>
  </si>
  <si>
    <t>REGULARIZAÇÃO E COMPACTAÇÃO DE SUBLEITO DE SOLO PREDOMINANTEMENTE ARGILOSO. AF_11/2019</t>
  </si>
  <si>
    <t>EXECUÇÃO E COMPACTAÇÃO DE BASE E OU SUB BASE PARA PAVIMENTAÇÃO DE BRITA GRADUADA SIMPLES - EXCLUSIVE CARGA E TRANSPORTE. AF_11/2019</t>
  </si>
  <si>
    <t>TUBO DE CONCRETO PARA REDES COLETORAS DE ÁGUAS PLUVIAIS, DIÂMETRO DE 800 MM, JUNTA RÍGIDA, INSTALADO EM LOCAL COM BAIXO NÍVEL DE INTERFERÊNCIAS - FORNECIMENTO E ASSENTAMENTO. AF_12/2015</t>
  </si>
  <si>
    <t>TUBO DE CONCRETO PARA REDES COLETORAS DE ÁGUAS PLUVIAIS, DIÂMETRO DE 1000 MM, JUNTA RÍGIDA, INSTALADO EM LOCAL COM BAIXO NÍVEL DE INTERFERÊNCIAS - FORNECIMENTO E ASSENTAMENTO. AF_12/2015</t>
  </si>
  <si>
    <t>5.12</t>
  </si>
  <si>
    <t>73856/003</t>
  </si>
  <si>
    <t>BOCA P/BUEIRO SIMPLES TUBULAR D=0,80M EM CONCRETO CICLOPICO, INCLUINDO FORMAS, ESCAVACAO, REATERRO E MATERIAIS, EXCLUINDO MATERIAL REATERRO JAZIDA E TRANSPORTE</t>
  </si>
  <si>
    <t>5.13</t>
  </si>
  <si>
    <t>73856/004</t>
  </si>
  <si>
    <t>BOCA P/BUEIRO SIMPLES TUBULAR D=1,00M EM CONCRETO CICLOPICO, INCLUINDO FORMAS, ESCAVACAO, REATERRO E MATERIAIS, EXCLUINDO MATERIAL REATERRO JAZIDA E TRANSPORTE</t>
  </si>
  <si>
    <t>5.14</t>
  </si>
  <si>
    <t>PLACA DE ACO ESMALTADA PARA  IDENTIFICACAO DE RUA, *45 CM X 20* CM</t>
  </si>
  <si>
    <t>EXECUÇÃO DE IMPRIMAÇÃO COM ASFALTO DILUÍDO CM-30. AF_11/2019</t>
  </si>
  <si>
    <t>EXECUÇÃO DE PINTURA DE LIGAÇÃO COM EMULSÃO ASFÁLTICA RR-2C. AF_11/2019</t>
  </si>
  <si>
    <t>EXECUÇÃO DE PAVIMENTO COM APLICAÇÃO DE CONCRETO ASFÁLTICO, CAMADA DE ROLAMENTO - EXCLUSIVE CARGA E TRANSPORTE. AF_11/2019</t>
  </si>
  <si>
    <t>4.7</t>
  </si>
  <si>
    <t>LEVANTAMENTO DE PV</t>
  </si>
  <si>
    <t>UNID.</t>
  </si>
  <si>
    <t xml:space="preserve">FONTE: TABELA SINAPI COM DESONERAÇÃO DE JUNHO/2020 E CPOS MARÇO/2020 - BDI: 26,75% </t>
  </si>
  <si>
    <t>REGISTRO, 19 DE AGOSTO DE 2020.</t>
  </si>
  <si>
    <r>
      <t xml:space="preserve">LOCAL: </t>
    </r>
    <r>
      <rPr>
        <sz val="12"/>
        <rFont val="Arial"/>
        <family val="2"/>
      </rPr>
      <t>JARDIM SÃO NICOLAU E VILA NOVA RIBEIRA (PARCIAL) - REGISTRO/SP</t>
    </r>
  </si>
  <si>
    <r>
      <t>OBRA:</t>
    </r>
    <r>
      <rPr>
        <sz val="12"/>
        <rFont val="Arial"/>
        <family val="2"/>
      </rPr>
      <t xml:space="preserve"> PAVIMENTAÇÃO ASFÁLTICA E OBRAS COMPLEMENTARES, TAIS COMO CONFECÇÃO DE GUIAS E SARJETAS, CALÇADA, DRENAGEM E SINALIZAÇÃO.</t>
    </r>
  </si>
  <si>
    <t>MOVIMENTAÇÃO DE TERRA</t>
  </si>
  <si>
    <t>07.01.010</t>
  </si>
  <si>
    <t>ESCAVAÇÃO E CARGA MECANIZADA PARA EXPLORAÇÃO DE SOLO EM JAZIDA</t>
  </si>
  <si>
    <t>05.10.023</t>
  </si>
  <si>
    <t>TRANSPORTE DE SOLO DE 1ª E 2ª CATEGORIA POR CAMINHÃO PARA DISTÂNCIAS SUPERIORES AO 3º KM ATÉ O 5º KM</t>
  </si>
  <si>
    <t>EXECUÇÃO E COMPACTAÇÃO DE ATERRO COM SOLO PREDOMINANTEMENTE ARGILOSO - EXCLUSIVE SOLO, ESCAVAÇÃO, CARGA E TRANSPORTE. AF_11/2019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</si>
</sst>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6" formatCode="0.0%"/>
    <numFmt numFmtId="167" formatCode="0.00;[Red]0.00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0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  <font>
      <sz val="8"/>
      <color theme="1"/>
      <name val="Tahoma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b/>
      <i/>
      <sz val="10"/>
      <name val="Times New Roman"/>
      <family val="1"/>
    </font>
    <font>
      <b/>
      <i/>
      <sz val="16"/>
      <name val="Times New Roman"/>
      <family val="1"/>
    </font>
    <font>
      <b/>
      <sz val="14"/>
      <color theme="1"/>
      <name val="Times New Roman"/>
      <family val="1"/>
    </font>
    <font>
      <sz val="9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b/>
      <sz val="11"/>
      <color indexed="8"/>
      <name val="Arial"/>
      <family val="2"/>
    </font>
    <font>
      <sz val="10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10"/>
      <name val="Calibri"/>
      <family val="2"/>
      <scheme val="minor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10"/>
      <name val="Arial"/>
      <family val="2"/>
    </font>
    <font>
      <sz val="18"/>
      <color theme="1"/>
      <name val="Calibri"/>
      <family val="2"/>
      <scheme val="minor"/>
    </font>
    <font>
      <sz val="10"/>
      <name val="Helv"/>
      <charset val="204"/>
    </font>
    <font>
      <b/>
      <sz val="12"/>
      <color theme="0"/>
      <name val="Arial"/>
      <family val="2"/>
    </font>
    <font>
      <sz val="10"/>
      <name val="MS Sans Serif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43" fillId="0" borderId="0"/>
    <xf numFmtId="0" fontId="4" fillId="0" borderId="0"/>
    <xf numFmtId="0" fontId="2" fillId="0" borderId="0" applyNumberFormat="0" applyFill="0" applyBorder="0" applyAlignment="0" applyProtection="0"/>
    <xf numFmtId="0" fontId="45" fillId="0" borderId="0"/>
  </cellStyleXfs>
  <cellXfs count="379">
    <xf numFmtId="0" fontId="0" fillId="0" borderId="0" xfId="0"/>
    <xf numFmtId="0" fontId="2" fillId="0" borderId="0" xfId="1" applyAlignment="1">
      <alignment vertical="top"/>
    </xf>
    <xf numFmtId="0" fontId="10" fillId="0" borderId="0" xfId="1" applyFont="1" applyBorder="1"/>
    <xf numFmtId="0" fontId="10" fillId="0" borderId="0" xfId="1" applyFont="1" applyBorder="1" applyAlignment="1">
      <alignment horizontal="center"/>
    </xf>
    <xf numFmtId="10" fontId="10" fillId="0" borderId="0" xfId="1" applyNumberFormat="1" applyFont="1" applyBorder="1"/>
    <xf numFmtId="43" fontId="9" fillId="0" borderId="0" xfId="1" applyNumberFormat="1" applyFont="1" applyAlignment="1">
      <alignment vertical="center" wrapText="1"/>
    </xf>
    <xf numFmtId="4" fontId="10" fillId="0" borderId="0" xfId="1" applyNumberFormat="1" applyFont="1" applyFill="1" applyBorder="1"/>
    <xf numFmtId="0" fontId="11" fillId="0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43" fontId="11" fillId="0" borderId="1" xfId="8" applyFont="1" applyFill="1" applyBorder="1" applyAlignment="1">
      <alignment horizontal="right" vertical="center" wrapText="1"/>
    </xf>
    <xf numFmtId="4" fontId="11" fillId="0" borderId="1" xfId="8" applyNumberFormat="1" applyFont="1" applyFill="1" applyBorder="1" applyAlignment="1">
      <alignment vertical="center" wrapText="1"/>
    </xf>
    <xf numFmtId="43" fontId="11" fillId="0" borderId="1" xfId="8" applyFont="1" applyFill="1" applyBorder="1" applyAlignment="1">
      <alignment vertical="center" wrapText="1"/>
    </xf>
    <xf numFmtId="43" fontId="11" fillId="2" borderId="1" xfId="8" applyFont="1" applyFill="1" applyBorder="1" applyAlignment="1">
      <alignment horizontal="right" vertical="center" wrapText="1"/>
    </xf>
    <xf numFmtId="4" fontId="12" fillId="2" borderId="1" xfId="8" applyNumberFormat="1" applyFont="1" applyFill="1" applyBorder="1" applyAlignment="1">
      <alignment vertical="center" wrapText="1"/>
    </xf>
    <xf numFmtId="43" fontId="11" fillId="3" borderId="1" xfId="8" applyFont="1" applyFill="1" applyBorder="1" applyAlignment="1">
      <alignment horizontal="right" vertical="center" wrapText="1"/>
    </xf>
    <xf numFmtId="0" fontId="12" fillId="2" borderId="1" xfId="1" applyFont="1" applyFill="1" applyBorder="1" applyAlignment="1">
      <alignment vertical="center" wrapText="1"/>
    </xf>
    <xf numFmtId="4" fontId="11" fillId="3" borderId="1" xfId="8" applyNumberFormat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43" fontId="11" fillId="0" borderId="1" xfId="8" applyFont="1" applyBorder="1" applyAlignment="1">
      <alignment horizontal="right" vertical="center" wrapText="1"/>
    </xf>
    <xf numFmtId="4" fontId="11" fillId="2" borderId="1" xfId="8" applyNumberFormat="1" applyFont="1" applyFill="1" applyBorder="1" applyAlignment="1">
      <alignment vertical="center" wrapText="1"/>
    </xf>
    <xf numFmtId="0" fontId="11" fillId="0" borderId="0" xfId="1" applyFont="1" applyBorder="1"/>
    <xf numFmtId="0" fontId="11" fillId="0" borderId="0" xfId="1" applyFont="1" applyBorder="1" applyAlignment="1">
      <alignment horizontal="center"/>
    </xf>
    <xf numFmtId="0" fontId="11" fillId="0" borderId="1" xfId="1" applyFont="1" applyBorder="1" applyAlignment="1">
      <alignment horizontal="center" vertical="center" wrapText="1"/>
    </xf>
    <xf numFmtId="0" fontId="11" fillId="3" borderId="1" xfId="1" applyFont="1" applyFill="1" applyBorder="1" applyAlignment="1">
      <alignment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wrapText="1"/>
    </xf>
    <xf numFmtId="0" fontId="12" fillId="2" borderId="1" xfId="1" applyFont="1" applyFill="1" applyBorder="1" applyAlignment="1">
      <alignment horizontal="center" vertical="center" wrapText="1"/>
    </xf>
    <xf numFmtId="0" fontId="12" fillId="0" borderId="0" xfId="1" applyFont="1" applyBorder="1"/>
    <xf numFmtId="0" fontId="12" fillId="0" borderId="0" xfId="1" applyFont="1" applyBorder="1" applyAlignment="1">
      <alignment horizontal="center"/>
    </xf>
    <xf numFmtId="0" fontId="12" fillId="0" borderId="0" xfId="1" applyFont="1" applyBorder="1" applyAlignment="1">
      <alignment vertical="top"/>
    </xf>
    <xf numFmtId="0" fontId="12" fillId="0" borderId="0" xfId="1" applyFont="1" applyBorder="1" applyAlignment="1">
      <alignment horizontal="right" vertical="top"/>
    </xf>
    <xf numFmtId="4" fontId="11" fillId="0" borderId="1" xfId="9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righ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/>
    </xf>
    <xf numFmtId="10" fontId="12" fillId="2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10" fontId="5" fillId="2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10" fontId="12" fillId="0" borderId="1" xfId="1" applyNumberFormat="1" applyFont="1" applyFill="1" applyBorder="1" applyAlignment="1">
      <alignment vertical="center" wrapText="1"/>
    </xf>
    <xf numFmtId="10" fontId="12" fillId="2" borderId="1" xfId="1" applyNumberFormat="1" applyFont="1" applyFill="1" applyBorder="1" applyAlignment="1">
      <alignment vertical="center" wrapText="1"/>
    </xf>
    <xf numFmtId="10" fontId="12" fillId="0" borderId="1" xfId="1" applyNumberFormat="1" applyFont="1" applyBorder="1" applyAlignment="1">
      <alignment vertical="center" wrapText="1"/>
    </xf>
    <xf numFmtId="10" fontId="11" fillId="3" borderId="1" xfId="1" applyNumberFormat="1" applyFont="1" applyFill="1" applyBorder="1" applyAlignment="1">
      <alignment vertical="center" wrapText="1"/>
    </xf>
    <xf numFmtId="10" fontId="6" fillId="3" borderId="1" xfId="1" applyNumberFormat="1" applyFont="1" applyFill="1" applyBorder="1" applyAlignment="1">
      <alignment vertical="center" wrapText="1"/>
    </xf>
    <xf numFmtId="4" fontId="11" fillId="0" borderId="0" xfId="1" applyNumberFormat="1" applyFont="1" applyFill="1" applyBorder="1" applyAlignment="1">
      <alignment horizontal="right"/>
    </xf>
    <xf numFmtId="0" fontId="7" fillId="0" borderId="0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/>
    </xf>
    <xf numFmtId="0" fontId="12" fillId="2" borderId="3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4" fillId="2" borderId="3" xfId="1" applyFont="1" applyFill="1" applyBorder="1" applyAlignment="1">
      <alignment horizontal="center" vertical="center"/>
    </xf>
    <xf numFmtId="10" fontId="12" fillId="2" borderId="3" xfId="1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/>
    </xf>
    <xf numFmtId="0" fontId="14" fillId="2" borderId="2" xfId="1" applyFont="1" applyFill="1" applyBorder="1" applyAlignment="1">
      <alignment horizontal="center" vertical="center"/>
    </xf>
    <xf numFmtId="10" fontId="12" fillId="2" borderId="2" xfId="1" applyNumberFormat="1" applyFont="1" applyFill="1" applyBorder="1" applyAlignment="1">
      <alignment horizontal="center" vertical="center" wrapText="1"/>
    </xf>
    <xf numFmtId="10" fontId="12" fillId="2" borderId="4" xfId="1" applyNumberFormat="1" applyFont="1" applyFill="1" applyBorder="1" applyAlignment="1">
      <alignment vertical="center" wrapText="1"/>
    </xf>
    <xf numFmtId="43" fontId="12" fillId="2" borderId="2" xfId="1" applyNumberFormat="1" applyFont="1" applyFill="1" applyBorder="1" applyAlignment="1">
      <alignment vertical="center" wrapText="1"/>
    </xf>
    <xf numFmtId="10" fontId="12" fillId="2" borderId="2" xfId="1" applyNumberFormat="1" applyFont="1" applyFill="1" applyBorder="1" applyAlignment="1">
      <alignment vertical="center" wrapText="1"/>
    </xf>
    <xf numFmtId="43" fontId="0" fillId="0" borderId="0" xfId="0" applyNumberFormat="1"/>
    <xf numFmtId="2" fontId="12" fillId="2" borderId="1" xfId="1" applyNumberFormat="1" applyFont="1" applyFill="1" applyBorder="1" applyAlignment="1">
      <alignment horizontal="center" vertical="center"/>
    </xf>
    <xf numFmtId="43" fontId="12" fillId="2" borderId="1" xfId="1" applyNumberFormat="1" applyFont="1" applyFill="1" applyBorder="1" applyAlignment="1">
      <alignment horizontal="center" vertical="center"/>
    </xf>
    <xf numFmtId="43" fontId="15" fillId="0" borderId="0" xfId="1" applyNumberFormat="1" applyFont="1" applyAlignment="1">
      <alignment vertical="top"/>
    </xf>
    <xf numFmtId="0" fontId="11" fillId="0" borderId="1" xfId="1" applyFont="1" applyFill="1" applyBorder="1" applyAlignment="1">
      <alignment vertical="justify"/>
    </xf>
    <xf numFmtId="0" fontId="0" fillId="0" borderId="0" xfId="0" applyAlignment="1">
      <alignment vertical="top"/>
    </xf>
    <xf numFmtId="0" fontId="12" fillId="4" borderId="1" xfId="0" applyFont="1" applyFill="1" applyBorder="1" applyAlignment="1">
      <alignment horizontal="center"/>
    </xf>
    <xf numFmtId="44" fontId="0" fillId="0" borderId="0" xfId="3" applyFont="1" applyAlignment="1">
      <alignment vertical="top"/>
    </xf>
    <xf numFmtId="0" fontId="2" fillId="0" borderId="0" xfId="0" applyFont="1" applyAlignment="1">
      <alignment vertical="top"/>
    </xf>
    <xf numFmtId="2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4" fontId="11" fillId="3" borderId="1" xfId="8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vertical="top"/>
    </xf>
    <xf numFmtId="16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17" fillId="0" borderId="0" xfId="0" applyFont="1" applyBorder="1"/>
    <xf numFmtId="4" fontId="10" fillId="0" borderId="0" xfId="0" applyNumberFormat="1" applyFont="1" applyFill="1" applyBorder="1" applyAlignment="1"/>
    <xf numFmtId="0" fontId="17" fillId="0" borderId="0" xfId="0" applyFont="1" applyBorder="1" applyAlignment="1">
      <alignment horizontal="right"/>
    </xf>
    <xf numFmtId="0" fontId="0" fillId="0" borderId="0" xfId="0" applyAlignment="1">
      <alignment horizontal="center" vertical="top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164" fontId="11" fillId="3" borderId="1" xfId="3" applyNumberFormat="1" applyFont="1" applyFill="1" applyBorder="1" applyAlignment="1">
      <alignment horizontal="right" vertical="center"/>
    </xf>
    <xf numFmtId="0" fontId="12" fillId="3" borderId="1" xfId="0" applyFont="1" applyFill="1" applyBorder="1" applyAlignment="1"/>
    <xf numFmtId="164" fontId="12" fillId="3" borderId="1" xfId="3" applyNumberFormat="1" applyFont="1" applyFill="1" applyBorder="1" applyAlignment="1">
      <alignment horizontal="right"/>
    </xf>
    <xf numFmtId="0" fontId="11" fillId="0" borderId="0" xfId="0" applyFont="1" applyBorder="1"/>
    <xf numFmtId="43" fontId="11" fillId="0" borderId="0" xfId="0" applyNumberFormat="1" applyFont="1" applyBorder="1" applyAlignment="1">
      <alignment horizontal="center"/>
    </xf>
    <xf numFmtId="0" fontId="19" fillId="0" borderId="0" xfId="0" applyFont="1" applyBorder="1"/>
    <xf numFmtId="0" fontId="19" fillId="0" borderId="0" xfId="0" applyFont="1"/>
    <xf numFmtId="0" fontId="21" fillId="0" borderId="0" xfId="0" applyFont="1" applyBorder="1"/>
    <xf numFmtId="0" fontId="12" fillId="0" borderId="0" xfId="0" applyFont="1" applyBorder="1"/>
    <xf numFmtId="0" fontId="5" fillId="0" borderId="0" xfId="0" applyFont="1" applyBorder="1" applyAlignment="1">
      <alignment horizontal="left"/>
    </xf>
    <xf numFmtId="0" fontId="25" fillId="0" borderId="0" xfId="0" quotePrefix="1" applyFont="1" applyBorder="1" applyAlignment="1">
      <alignment horizontal="left"/>
    </xf>
    <xf numFmtId="0" fontId="25" fillId="0" borderId="0" xfId="0" applyFont="1" applyBorder="1"/>
    <xf numFmtId="0" fontId="26" fillId="0" borderId="0" xfId="0" applyFont="1" applyBorder="1" applyAlignment="1">
      <alignment horizontal="left"/>
    </xf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0" fontId="28" fillId="0" borderId="0" xfId="0" applyFont="1"/>
    <xf numFmtId="0" fontId="29" fillId="5" borderId="1" xfId="0" applyFont="1" applyFill="1" applyBorder="1" applyAlignment="1">
      <alignment horizontal="center"/>
    </xf>
    <xf numFmtId="0" fontId="29" fillId="3" borderId="1" xfId="0" applyFont="1" applyFill="1" applyBorder="1" applyAlignment="1">
      <alignment horizontal="center"/>
    </xf>
    <xf numFmtId="4" fontId="24" fillId="0" borderId="1" xfId="0" applyNumberFormat="1" applyFont="1" applyBorder="1"/>
    <xf numFmtId="4" fontId="24" fillId="0" borderId="1" xfId="0" applyNumberFormat="1" applyFont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4" fontId="28" fillId="0" borderId="0" xfId="0" applyNumberFormat="1" applyFont="1"/>
    <xf numFmtId="0" fontId="29" fillId="6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8" fillId="0" borderId="1" xfId="0" applyFont="1" applyBorder="1"/>
    <xf numFmtId="0" fontId="24" fillId="0" borderId="1" xfId="0" applyNumberFormat="1" applyFont="1" applyBorder="1" applyAlignment="1">
      <alignment horizontal="center"/>
    </xf>
    <xf numFmtId="0" fontId="30" fillId="0" borderId="1" xfId="0" applyFont="1" applyBorder="1"/>
    <xf numFmtId="4" fontId="29" fillId="0" borderId="1" xfId="0" applyNumberFormat="1" applyFont="1" applyFill="1" applyBorder="1" applyAlignment="1">
      <alignment horizontal="center"/>
    </xf>
    <xf numFmtId="0" fontId="29" fillId="3" borderId="0" xfId="0" applyFont="1" applyFill="1" applyBorder="1" applyAlignment="1">
      <alignment horizontal="center"/>
    </xf>
    <xf numFmtId="0" fontId="29" fillId="0" borderId="1" xfId="0" applyNumberFormat="1" applyFont="1" applyBorder="1" applyAlignment="1">
      <alignment horizontal="left" vertical="center"/>
    </xf>
    <xf numFmtId="0" fontId="24" fillId="0" borderId="1" xfId="0" applyFont="1" applyBorder="1" applyAlignment="1">
      <alignment horizontal="right" vertical="center"/>
    </xf>
    <xf numFmtId="4" fontId="31" fillId="0" borderId="0" xfId="0" applyNumberFormat="1" applyFont="1"/>
    <xf numFmtId="0" fontId="31" fillId="0" borderId="0" xfId="0" applyFont="1"/>
    <xf numFmtId="4" fontId="32" fillId="0" borderId="1" xfId="0" applyNumberFormat="1" applyFont="1" applyBorder="1" applyAlignment="1">
      <alignment horizontal="right" vertical="top"/>
    </xf>
    <xf numFmtId="4" fontId="19" fillId="0" borderId="0" xfId="0" applyNumberFormat="1" applyFont="1"/>
    <xf numFmtId="0" fontId="18" fillId="0" borderId="0" xfId="0" applyFont="1" applyBorder="1"/>
    <xf numFmtId="0" fontId="29" fillId="0" borderId="0" xfId="0" applyFont="1" applyBorder="1" applyAlignment="1">
      <alignment horizontal="right" vertical="center"/>
    </xf>
    <xf numFmtId="166" fontId="3" fillId="0" borderId="0" xfId="7" applyNumberFormat="1" applyFont="1" applyBorder="1" applyAlignment="1">
      <alignment horizontal="right" vertical="center"/>
    </xf>
    <xf numFmtId="166" fontId="3" fillId="0" borderId="0" xfId="7" applyNumberFormat="1" applyFont="1" applyBorder="1" applyAlignment="1"/>
    <xf numFmtId="0" fontId="1" fillId="0" borderId="0" xfId="0" applyFont="1" applyBorder="1" applyAlignment="1">
      <alignment vertical="top"/>
    </xf>
    <xf numFmtId="0" fontId="33" fillId="0" borderId="0" xfId="0" applyFont="1" applyBorder="1"/>
    <xf numFmtId="166" fontId="33" fillId="0" borderId="0" xfId="7" applyNumberFormat="1" applyFont="1" applyBorder="1" applyAlignment="1"/>
    <xf numFmtId="0" fontId="34" fillId="0" borderId="0" xfId="0" applyFont="1" applyBorder="1" applyAlignment="1">
      <alignment vertical="top"/>
    </xf>
    <xf numFmtId="4" fontId="29" fillId="0" borderId="0" xfId="0" applyNumberFormat="1" applyFont="1" applyBorder="1" applyAlignment="1">
      <alignment horizontal="right" vertical="center"/>
    </xf>
    <xf numFmtId="0" fontId="29" fillId="0" borderId="0" xfId="0" applyFont="1" applyBorder="1" applyAlignment="1"/>
    <xf numFmtId="0" fontId="35" fillId="0" borderId="0" xfId="0" applyFont="1" applyBorder="1" applyAlignment="1"/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right" vertical="center"/>
    </xf>
    <xf numFmtId="4" fontId="35" fillId="0" borderId="0" xfId="0" applyNumberFormat="1" applyFont="1" applyBorder="1" applyAlignment="1">
      <alignment horizontal="right" vertical="center"/>
    </xf>
    <xf numFmtId="4" fontId="36" fillId="0" borderId="0" xfId="0" applyNumberFormat="1" applyFont="1" applyBorder="1" applyAlignment="1">
      <alignment horizontal="right" vertical="top"/>
    </xf>
    <xf numFmtId="4" fontId="36" fillId="0" borderId="0" xfId="0" applyNumberFormat="1" applyFont="1" applyBorder="1" applyAlignment="1">
      <alignment horizontal="center" vertical="top"/>
    </xf>
    <xf numFmtId="0" fontId="29" fillId="0" borderId="0" xfId="0" applyFont="1" applyAlignment="1">
      <alignment horizontal="center"/>
    </xf>
    <xf numFmtId="0" fontId="20" fillId="0" borderId="0" xfId="0" applyFont="1" applyAlignment="1"/>
    <xf numFmtId="0" fontId="29" fillId="0" borderId="0" xfId="0" applyFont="1"/>
    <xf numFmtId="0" fontId="3" fillId="0" borderId="0" xfId="0" applyFont="1"/>
    <xf numFmtId="44" fontId="0" fillId="0" borderId="0" xfId="10" applyFont="1" applyAlignment="1">
      <alignment vertical="top"/>
    </xf>
    <xf numFmtId="44" fontId="0" fillId="0" borderId="0" xfId="0" applyNumberFormat="1" applyBorder="1" applyAlignment="1">
      <alignment vertical="top"/>
    </xf>
    <xf numFmtId="0" fontId="11" fillId="3" borderId="1" xfId="0" applyFont="1" applyFill="1" applyBorder="1" applyAlignment="1">
      <alignment vertical="justify"/>
    </xf>
    <xf numFmtId="2" fontId="11" fillId="3" borderId="1" xfId="0" applyNumberFormat="1" applyFont="1" applyFill="1" applyBorder="1" applyAlignment="1">
      <alignment vertical="center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vertical="top"/>
    </xf>
    <xf numFmtId="4" fontId="29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10" fontId="24" fillId="0" borderId="1" xfId="7" applyNumberFormat="1" applyFont="1" applyBorder="1" applyAlignment="1">
      <alignment horizontal="center"/>
    </xf>
    <xf numFmtId="10" fontId="29" fillId="3" borderId="1" xfId="0" applyNumberFormat="1" applyFont="1" applyFill="1" applyBorder="1" applyAlignment="1">
      <alignment horizontal="center"/>
    </xf>
    <xf numFmtId="0" fontId="0" fillId="0" borderId="0" xfId="0" applyFont="1" applyBorder="1" applyAlignment="1">
      <alignment vertical="top"/>
    </xf>
    <xf numFmtId="0" fontId="18" fillId="0" borderId="0" xfId="0" applyFont="1" applyBorder="1" applyAlignment="1">
      <alignment vertical="top"/>
    </xf>
    <xf numFmtId="0" fontId="37" fillId="0" borderId="0" xfId="0" applyFont="1" applyBorder="1"/>
    <xf numFmtId="166" fontId="37" fillId="0" borderId="0" xfId="7" applyNumberFormat="1" applyFont="1" applyBorder="1" applyAlignment="1"/>
    <xf numFmtId="0" fontId="38" fillId="0" borderId="0" xfId="0" applyFont="1" applyBorder="1" applyAlignment="1">
      <alignment vertical="top"/>
    </xf>
    <xf numFmtId="0" fontId="38" fillId="0" borderId="0" xfId="0" applyFont="1" applyBorder="1" applyAlignment="1">
      <alignment horizontal="right" vertical="top"/>
    </xf>
    <xf numFmtId="0" fontId="12" fillId="2" borderId="1" xfId="1" applyFont="1" applyFill="1" applyBorder="1" applyAlignment="1">
      <alignment horizontal="right" vertical="center" wrapText="1"/>
    </xf>
    <xf numFmtId="0" fontId="7" fillId="0" borderId="0" xfId="1" applyFont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/>
    </xf>
    <xf numFmtId="0" fontId="12" fillId="0" borderId="1" xfId="1" applyFont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39" fillId="0" borderId="1" xfId="0" applyFont="1" applyBorder="1"/>
    <xf numFmtId="2" fontId="21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40" fillId="0" borderId="0" xfId="0" applyFont="1" applyBorder="1"/>
    <xf numFmtId="0" fontId="40" fillId="0" borderId="0" xfId="0" applyFont="1" applyBorder="1" applyAlignment="1">
      <alignment horizontal="center"/>
    </xf>
    <xf numFmtId="0" fontId="39" fillId="0" borderId="0" xfId="0" applyFont="1" applyBorder="1" applyAlignment="1">
      <alignment vertical="center"/>
    </xf>
    <xf numFmtId="0" fontId="40" fillId="0" borderId="1" xfId="0" applyFont="1" applyBorder="1" applyAlignment="1">
      <alignment vertical="center"/>
    </xf>
    <xf numFmtId="2" fontId="40" fillId="0" borderId="1" xfId="0" applyNumberFormat="1" applyFont="1" applyBorder="1" applyAlignment="1">
      <alignment horizontal="center"/>
    </xf>
    <xf numFmtId="0" fontId="40" fillId="0" borderId="1" xfId="0" applyFont="1" applyBorder="1" applyAlignment="1">
      <alignment horizontal="center"/>
    </xf>
    <xf numFmtId="0" fontId="40" fillId="0" borderId="1" xfId="0" applyFont="1" applyBorder="1"/>
    <xf numFmtId="0" fontId="21" fillId="0" borderId="1" xfId="0" applyFont="1" applyBorder="1" applyAlignment="1"/>
    <xf numFmtId="0" fontId="21" fillId="0" borderId="0" xfId="0" applyFont="1" applyBorder="1" applyAlignment="1"/>
    <xf numFmtId="2" fontId="41" fillId="3" borderId="0" xfId="0" applyNumberFormat="1" applyFont="1" applyFill="1" applyBorder="1" applyAlignment="1">
      <alignment vertical="center"/>
    </xf>
    <xf numFmtId="0" fontId="39" fillId="0" borderId="0" xfId="0" applyFont="1" applyBorder="1"/>
    <xf numFmtId="2" fontId="40" fillId="0" borderId="1" xfId="0" applyNumberFormat="1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21" fillId="0" borderId="1" xfId="0" applyFont="1" applyBorder="1"/>
    <xf numFmtId="0" fontId="39" fillId="0" borderId="1" xfId="0" applyFont="1" applyFill="1" applyBorder="1"/>
    <xf numFmtId="0" fontId="21" fillId="0" borderId="1" xfId="0" applyFont="1" applyFill="1" applyBorder="1" applyAlignment="1">
      <alignment horizontal="center"/>
    </xf>
    <xf numFmtId="0" fontId="40" fillId="0" borderId="0" xfId="0" applyFont="1" applyFill="1" applyBorder="1"/>
    <xf numFmtId="0" fontId="39" fillId="0" borderId="0" xfId="0" applyFont="1" applyFill="1" applyBorder="1"/>
    <xf numFmtId="0" fontId="40" fillId="0" borderId="1" xfId="0" applyFont="1" applyFill="1" applyBorder="1" applyAlignment="1">
      <alignment horizontal="center"/>
    </xf>
    <xf numFmtId="0" fontId="21" fillId="0" borderId="0" xfId="0" applyFont="1" applyFill="1" applyBorder="1"/>
    <xf numFmtId="2" fontId="21" fillId="0" borderId="0" xfId="0" applyNumberFormat="1" applyFont="1" applyBorder="1" applyAlignment="1">
      <alignment horizontal="center"/>
    </xf>
    <xf numFmtId="167" fontId="40" fillId="0" borderId="1" xfId="0" applyNumberFormat="1" applyFont="1" applyBorder="1" applyAlignment="1">
      <alignment horizontal="center"/>
    </xf>
    <xf numFmtId="0" fontId="40" fillId="0" borderId="1" xfId="0" applyFont="1" applyFill="1" applyBorder="1"/>
    <xf numFmtId="2" fontId="40" fillId="0" borderId="0" xfId="0" applyNumberFormat="1" applyFont="1" applyBorder="1"/>
    <xf numFmtId="0" fontId="23" fillId="0" borderId="0" xfId="0" applyFont="1" applyBorder="1" applyAlignment="1">
      <alignment horizont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4" fontId="11" fillId="0" borderId="0" xfId="1" applyNumberFormat="1" applyFont="1" applyFill="1" applyBorder="1" applyAlignment="1">
      <alignment horizontal="right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vertical="center" wrapText="1"/>
    </xf>
    <xf numFmtId="4" fontId="12" fillId="0" borderId="1" xfId="8" applyNumberFormat="1" applyFont="1" applyFill="1" applyBorder="1" applyAlignment="1">
      <alignment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4" fillId="0" borderId="3" xfId="1" applyFont="1" applyFill="1" applyBorder="1" applyAlignment="1">
      <alignment horizontal="center" vertical="center"/>
    </xf>
    <xf numFmtId="10" fontId="12" fillId="0" borderId="3" xfId="1" applyNumberFormat="1" applyFont="1" applyFill="1" applyBorder="1" applyAlignment="1">
      <alignment horizontal="center" vertical="center" wrapText="1"/>
    </xf>
    <xf numFmtId="4" fontId="14" fillId="0" borderId="3" xfId="1" applyNumberFormat="1" applyFont="1" applyFill="1" applyBorder="1" applyAlignment="1">
      <alignment horizontal="right" vertical="center"/>
    </xf>
    <xf numFmtId="4" fontId="11" fillId="0" borderId="1" xfId="8" applyNumberFormat="1" applyFont="1" applyFill="1" applyBorder="1" applyAlignment="1">
      <alignment horizontal="right" vertical="center" wrapText="1"/>
    </xf>
    <xf numFmtId="4" fontId="12" fillId="2" borderId="1" xfId="1" applyNumberFormat="1" applyFont="1" applyFill="1" applyBorder="1" applyAlignment="1">
      <alignment horizontal="right" vertical="center"/>
    </xf>
    <xf numFmtId="4" fontId="14" fillId="0" borderId="1" xfId="1" applyNumberFormat="1" applyFont="1" applyFill="1" applyBorder="1" applyAlignment="1">
      <alignment horizontal="right" vertical="center"/>
    </xf>
    <xf numFmtId="4" fontId="12" fillId="2" borderId="2" xfId="1" applyNumberFormat="1" applyFont="1" applyFill="1" applyBorder="1" applyAlignment="1">
      <alignment horizontal="right" vertical="center" wrapText="1"/>
    </xf>
    <xf numFmtId="0" fontId="0" fillId="0" borderId="0" xfId="0" applyFont="1"/>
    <xf numFmtId="0" fontId="11" fillId="7" borderId="1" xfId="1" applyFont="1" applyFill="1" applyBorder="1" applyAlignment="1">
      <alignment horizontal="center" vertical="center" wrapText="1"/>
    </xf>
    <xf numFmtId="49" fontId="11" fillId="7" borderId="1" xfId="1" applyNumberFormat="1" applyFont="1" applyFill="1" applyBorder="1" applyAlignment="1">
      <alignment horizontal="center" vertical="center" wrapText="1"/>
    </xf>
    <xf numFmtId="0" fontId="11" fillId="7" borderId="1" xfId="1" applyFont="1" applyFill="1" applyBorder="1" applyAlignment="1">
      <alignment vertical="center" wrapText="1"/>
    </xf>
    <xf numFmtId="43" fontId="11" fillId="7" borderId="1" xfId="8" applyFont="1" applyFill="1" applyBorder="1" applyAlignment="1">
      <alignment horizontal="right" vertical="center" wrapText="1"/>
    </xf>
    <xf numFmtId="0" fontId="42" fillId="0" borderId="0" xfId="0" applyFont="1" applyAlignment="1">
      <alignment vertical="center"/>
    </xf>
    <xf numFmtId="4" fontId="0" fillId="0" borderId="0" xfId="0" applyNumberFormat="1"/>
    <xf numFmtId="4" fontId="0" fillId="0" borderId="0" xfId="0" applyNumberFormat="1" applyAlignment="1">
      <alignment vertical="center"/>
    </xf>
    <xf numFmtId="4" fontId="18" fillId="0" borderId="0" xfId="0" applyNumberFormat="1" applyFont="1" applyAlignment="1">
      <alignment vertical="center"/>
    </xf>
    <xf numFmtId="0" fontId="14" fillId="9" borderId="2" xfId="1" applyFont="1" applyFill="1" applyBorder="1" applyAlignment="1">
      <alignment horizontal="center" vertical="center"/>
    </xf>
    <xf numFmtId="10" fontId="12" fillId="9" borderId="2" xfId="1" applyNumberFormat="1" applyFont="1" applyFill="1" applyBorder="1" applyAlignment="1">
      <alignment horizontal="center" vertical="center" wrapText="1"/>
    </xf>
    <xf numFmtId="0" fontId="12" fillId="9" borderId="1" xfId="1" applyFont="1" applyFill="1" applyBorder="1" applyAlignment="1">
      <alignment horizontal="center" vertical="center" wrapText="1"/>
    </xf>
    <xf numFmtId="43" fontId="11" fillId="9" borderId="1" xfId="8" applyFont="1" applyFill="1" applyBorder="1" applyAlignment="1">
      <alignment horizontal="right" vertical="center" wrapText="1"/>
    </xf>
    <xf numFmtId="4" fontId="12" fillId="9" borderId="1" xfId="8" applyNumberFormat="1" applyFont="1" applyFill="1" applyBorder="1" applyAlignment="1">
      <alignment vertical="center" wrapText="1"/>
    </xf>
    <xf numFmtId="10" fontId="12" fillId="9" borderId="1" xfId="1" applyNumberFormat="1" applyFont="1" applyFill="1" applyBorder="1" applyAlignment="1">
      <alignment vertical="center" wrapText="1"/>
    </xf>
    <xf numFmtId="4" fontId="12" fillId="9" borderId="4" xfId="8" applyNumberFormat="1" applyFont="1" applyFill="1" applyBorder="1" applyAlignment="1">
      <alignment vertical="center" wrapText="1"/>
    </xf>
    <xf numFmtId="4" fontId="12" fillId="9" borderId="2" xfId="8" applyNumberFormat="1" applyFont="1" applyFill="1" applyBorder="1" applyAlignment="1">
      <alignment vertical="center" wrapText="1"/>
    </xf>
    <xf numFmtId="10" fontId="12" fillId="9" borderId="2" xfId="1" applyNumberFormat="1" applyFont="1" applyFill="1" applyBorder="1" applyAlignment="1">
      <alignment vertical="center" wrapText="1"/>
    </xf>
    <xf numFmtId="0" fontId="12" fillId="8" borderId="1" xfId="1" applyFont="1" applyFill="1" applyBorder="1" applyAlignment="1">
      <alignment horizontal="center" vertical="center" wrapText="1"/>
    </xf>
    <xf numFmtId="0" fontId="12" fillId="8" borderId="1" xfId="1" applyFont="1" applyFill="1" applyBorder="1" applyAlignment="1">
      <alignment vertical="center" wrapText="1"/>
    </xf>
    <xf numFmtId="0" fontId="11" fillId="8" borderId="1" xfId="1" applyFont="1" applyFill="1" applyBorder="1" applyAlignment="1">
      <alignment horizontal="center" vertical="center" wrapText="1"/>
    </xf>
    <xf numFmtId="43" fontId="11" fillId="8" borderId="1" xfId="8" applyFont="1" applyFill="1" applyBorder="1" applyAlignment="1">
      <alignment horizontal="right" vertical="center" wrapText="1"/>
    </xf>
    <xf numFmtId="4" fontId="11" fillId="8" borderId="1" xfId="8" applyNumberFormat="1" applyFont="1" applyFill="1" applyBorder="1" applyAlignment="1">
      <alignment vertical="center" wrapText="1"/>
    </xf>
    <xf numFmtId="4" fontId="11" fillId="8" borderId="1" xfId="8" applyNumberFormat="1" applyFont="1" applyFill="1" applyBorder="1" applyAlignment="1">
      <alignment horizontal="right" vertical="center" wrapText="1"/>
    </xf>
    <xf numFmtId="10" fontId="12" fillId="8" borderId="1" xfId="1" applyNumberFormat="1" applyFont="1" applyFill="1" applyBorder="1" applyAlignment="1">
      <alignment vertical="center" wrapText="1"/>
    </xf>
    <xf numFmtId="4" fontId="11" fillId="2" borderId="1" xfId="8" applyNumberFormat="1" applyFont="1" applyFill="1" applyBorder="1" applyAlignment="1">
      <alignment horizontal="right" vertical="center" wrapText="1"/>
    </xf>
    <xf numFmtId="4" fontId="12" fillId="8" borderId="1" xfId="8" applyNumberFormat="1" applyFont="1" applyFill="1" applyBorder="1" applyAlignment="1">
      <alignment vertical="center" wrapText="1"/>
    </xf>
    <xf numFmtId="4" fontId="11" fillId="0" borderId="0" xfId="1" applyNumberFormat="1" applyFont="1" applyFill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4" fontId="11" fillId="0" borderId="0" xfId="1" applyNumberFormat="1" applyFont="1" applyFill="1" applyBorder="1" applyAlignment="1">
      <alignment horizontal="right"/>
    </xf>
    <xf numFmtId="0" fontId="14" fillId="9" borderId="2" xfId="1" applyFont="1" applyFill="1" applyBorder="1" applyAlignment="1">
      <alignment horizontal="center" vertical="center"/>
    </xf>
    <xf numFmtId="4" fontId="11" fillId="3" borderId="1" xfId="8" applyNumberFormat="1" applyFont="1" applyFill="1" applyBorder="1" applyAlignment="1">
      <alignment horizontal="right" vertical="center" wrapText="1"/>
    </xf>
    <xf numFmtId="0" fontId="12" fillId="9" borderId="6" xfId="1" applyFont="1" applyFill="1" applyBorder="1" applyAlignment="1">
      <alignment vertical="center" wrapText="1"/>
    </xf>
    <xf numFmtId="0" fontId="12" fillId="9" borderId="7" xfId="1" applyFont="1" applyFill="1" applyBorder="1" applyAlignment="1">
      <alignment vertical="center" wrapText="1"/>
    </xf>
    <xf numFmtId="0" fontId="12" fillId="9" borderId="8" xfId="1" applyFont="1" applyFill="1" applyBorder="1" applyAlignment="1">
      <alignment vertical="center" wrapText="1"/>
    </xf>
    <xf numFmtId="0" fontId="12" fillId="9" borderId="10" xfId="1" applyFont="1" applyFill="1" applyBorder="1" applyAlignment="1">
      <alignment vertical="center" wrapText="1"/>
    </xf>
    <xf numFmtId="0" fontId="12" fillId="9" borderId="11" xfId="1" applyFont="1" applyFill="1" applyBorder="1" applyAlignment="1">
      <alignment vertical="center" wrapText="1"/>
    </xf>
    <xf numFmtId="0" fontId="12" fillId="9" borderId="12" xfId="1" applyFont="1" applyFill="1" applyBorder="1" applyAlignment="1">
      <alignment vertical="center" wrapText="1"/>
    </xf>
    <xf numFmtId="164" fontId="11" fillId="8" borderId="1" xfId="8" applyNumberFormat="1" applyFont="1" applyFill="1" applyBorder="1" applyAlignment="1">
      <alignment horizontal="right" vertical="center" wrapText="1"/>
    </xf>
    <xf numFmtId="0" fontId="12" fillId="8" borderId="16" xfId="1" applyFont="1" applyFill="1" applyBorder="1" applyAlignment="1">
      <alignment horizontal="center" vertical="center" wrapText="1"/>
    </xf>
    <xf numFmtId="10" fontId="12" fillId="8" borderId="17" xfId="1" applyNumberFormat="1" applyFont="1" applyFill="1" applyBorder="1" applyAlignment="1">
      <alignment vertical="center" wrapText="1"/>
    </xf>
    <xf numFmtId="0" fontId="11" fillId="0" borderId="16" xfId="1" applyFont="1" applyFill="1" applyBorder="1" applyAlignment="1">
      <alignment horizontal="center" vertical="center" wrapText="1"/>
    </xf>
    <xf numFmtId="10" fontId="12" fillId="0" borderId="17" xfId="1" applyNumberFormat="1" applyFont="1" applyFill="1" applyBorder="1" applyAlignment="1">
      <alignment vertical="center" wrapText="1"/>
    </xf>
    <xf numFmtId="10" fontId="12" fillId="9" borderId="17" xfId="1" applyNumberFormat="1" applyFont="1" applyFill="1" applyBorder="1" applyAlignment="1">
      <alignment vertical="center" wrapText="1"/>
    </xf>
    <xf numFmtId="0" fontId="12" fillId="2" borderId="16" xfId="1" applyFont="1" applyFill="1" applyBorder="1" applyAlignment="1">
      <alignment horizontal="center" vertical="center" wrapText="1"/>
    </xf>
    <xf numFmtId="10" fontId="12" fillId="2" borderId="17" xfId="1" applyNumberFormat="1" applyFont="1" applyFill="1" applyBorder="1" applyAlignment="1">
      <alignment vertical="center" wrapText="1"/>
    </xf>
    <xf numFmtId="0" fontId="11" fillId="3" borderId="16" xfId="1" applyFont="1" applyFill="1" applyBorder="1" applyAlignment="1">
      <alignment horizontal="center" vertical="center" wrapText="1"/>
    </xf>
    <xf numFmtId="10" fontId="11" fillId="3" borderId="17" xfId="1" applyNumberFormat="1" applyFont="1" applyFill="1" applyBorder="1" applyAlignment="1">
      <alignment vertical="center" wrapText="1"/>
    </xf>
    <xf numFmtId="0" fontId="11" fillId="2" borderId="16" xfId="1" applyFont="1" applyFill="1" applyBorder="1" applyAlignment="1">
      <alignment horizontal="center" vertical="center" wrapText="1"/>
    </xf>
    <xf numFmtId="10" fontId="6" fillId="3" borderId="17" xfId="1" applyNumberFormat="1" applyFont="1" applyFill="1" applyBorder="1" applyAlignment="1">
      <alignment vertical="center" wrapText="1"/>
    </xf>
    <xf numFmtId="43" fontId="11" fillId="0" borderId="17" xfId="8" applyFont="1" applyFill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4" fontId="12" fillId="0" borderId="0" xfId="1" applyNumberFormat="1" applyFont="1" applyFill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14" fillId="9" borderId="2" xfId="1" applyFont="1" applyFill="1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Font="1"/>
    <xf numFmtId="0" fontId="13" fillId="0" borderId="0" xfId="1" applyFont="1" applyBorder="1" applyAlignment="1">
      <alignment vertical="top"/>
    </xf>
    <xf numFmtId="0" fontId="13" fillId="0" borderId="0" xfId="1" applyFont="1" applyFill="1" applyBorder="1" applyAlignment="1"/>
    <xf numFmtId="10" fontId="11" fillId="0" borderId="1" xfId="1" applyNumberFormat="1" applyFont="1" applyFill="1" applyBorder="1" applyAlignment="1">
      <alignment vertical="center" wrapText="1"/>
    </xf>
    <xf numFmtId="4" fontId="12" fillId="0" borderId="0" xfId="8" applyNumberFormat="1" applyFont="1" applyFill="1" applyBorder="1" applyAlignment="1">
      <alignment vertical="center" wrapText="1"/>
    </xf>
    <xf numFmtId="10" fontId="12" fillId="0" borderId="0" xfId="1" applyNumberFormat="1" applyFont="1" applyFill="1" applyBorder="1" applyAlignment="1">
      <alignment vertical="center" wrapText="1"/>
    </xf>
    <xf numFmtId="10" fontId="12" fillId="10" borderId="1" xfId="1" applyNumberFormat="1" applyFont="1" applyFill="1" applyBorder="1" applyAlignment="1">
      <alignment horizontal="center" vertical="center" wrapText="1"/>
    </xf>
    <xf numFmtId="0" fontId="12" fillId="11" borderId="1" xfId="1" applyFont="1" applyFill="1" applyBorder="1" applyAlignment="1">
      <alignment horizontal="center" vertical="center" wrapText="1"/>
    </xf>
    <xf numFmtId="43" fontId="11" fillId="11" borderId="1" xfId="8" applyFont="1" applyFill="1" applyBorder="1" applyAlignment="1">
      <alignment horizontal="right" vertical="center" wrapText="1"/>
    </xf>
    <xf numFmtId="4" fontId="12" fillId="11" borderId="1" xfId="8" applyNumberFormat="1" applyFont="1" applyFill="1" applyBorder="1" applyAlignment="1">
      <alignment vertical="center" wrapText="1"/>
    </xf>
    <xf numFmtId="10" fontId="12" fillId="11" borderId="1" xfId="1" applyNumberFormat="1" applyFont="1" applyFill="1" applyBorder="1" applyAlignment="1">
      <alignment vertical="center" wrapText="1"/>
    </xf>
    <xf numFmtId="0" fontId="11" fillId="11" borderId="1" xfId="1" applyFont="1" applyFill="1" applyBorder="1" applyAlignment="1">
      <alignment horizontal="center" vertical="center" wrapText="1"/>
    </xf>
    <xf numFmtId="4" fontId="11" fillId="11" borderId="1" xfId="8" applyNumberFormat="1" applyFont="1" applyFill="1" applyBorder="1" applyAlignment="1">
      <alignment vertical="center" wrapText="1"/>
    </xf>
    <xf numFmtId="4" fontId="12" fillId="11" borderId="1" xfId="8" applyNumberFormat="1" applyFont="1" applyFill="1" applyBorder="1" applyAlignment="1">
      <alignment horizontal="right" vertical="center" wrapText="1"/>
    </xf>
    <xf numFmtId="0" fontId="11" fillId="0" borderId="1" xfId="1" applyFont="1" applyFill="1" applyBorder="1" applyAlignment="1">
      <alignment horizontal="left" wrapText="1"/>
    </xf>
    <xf numFmtId="43" fontId="9" fillId="0" borderId="0" xfId="1" applyNumberFormat="1" applyFont="1" applyFill="1" applyAlignment="1">
      <alignment vertical="center" wrapText="1"/>
    </xf>
    <xf numFmtId="0" fontId="2" fillId="0" borderId="0" xfId="1" applyFill="1" applyAlignment="1">
      <alignment vertical="top"/>
    </xf>
    <xf numFmtId="4" fontId="11" fillId="0" borderId="1" xfId="1" applyNumberFormat="1" applyFont="1" applyFill="1" applyBorder="1" applyAlignment="1">
      <alignment vertical="center" wrapText="1"/>
    </xf>
    <xf numFmtId="0" fontId="12" fillId="11" borderId="1" xfId="1" applyFont="1" applyFill="1" applyBorder="1" applyAlignment="1">
      <alignment vertical="center" wrapText="1"/>
    </xf>
    <xf numFmtId="4" fontId="12" fillId="11" borderId="1" xfId="1" applyNumberFormat="1" applyFont="1" applyFill="1" applyBorder="1" applyAlignment="1">
      <alignment vertical="center" wrapText="1"/>
    </xf>
    <xf numFmtId="43" fontId="11" fillId="0" borderId="1" xfId="1" applyNumberFormat="1" applyFont="1" applyFill="1" applyBorder="1" applyAlignment="1">
      <alignment vertical="center" wrapText="1"/>
    </xf>
    <xf numFmtId="0" fontId="12" fillId="0" borderId="7" xfId="1" applyFont="1" applyFill="1" applyBorder="1" applyAlignment="1">
      <alignment vertical="center" wrapText="1"/>
    </xf>
    <xf numFmtId="0" fontId="12" fillId="0" borderId="8" xfId="1" applyFont="1" applyFill="1" applyBorder="1" applyAlignment="1">
      <alignment vertical="center" wrapText="1"/>
    </xf>
    <xf numFmtId="2" fontId="44" fillId="0" borderId="0" xfId="1" applyNumberFormat="1" applyFont="1" applyFill="1" applyBorder="1" applyAlignment="1">
      <alignment horizontal="center" vertical="center"/>
    </xf>
    <xf numFmtId="10" fontId="12" fillId="11" borderId="1" xfId="1" applyNumberFormat="1" applyFont="1" applyFill="1" applyBorder="1" applyAlignment="1">
      <alignment horizontal="right" vertical="center" wrapText="1"/>
    </xf>
    <xf numFmtId="2" fontId="11" fillId="0" borderId="1" xfId="1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11" fillId="0" borderId="1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vertical="center" wrapText="1"/>
    </xf>
    <xf numFmtId="4" fontId="12" fillId="0" borderId="0" xfId="1" applyNumberFormat="1" applyFont="1" applyFill="1" applyBorder="1" applyAlignment="1">
      <alignment horizontal="right"/>
    </xf>
    <xf numFmtId="0" fontId="12" fillId="10" borderId="1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43" fontId="0" fillId="0" borderId="0" xfId="0" applyNumberFormat="1" applyAlignment="1">
      <alignment vertical="center"/>
    </xf>
    <xf numFmtId="0" fontId="23" fillId="0" borderId="0" xfId="0" applyFont="1"/>
    <xf numFmtId="0" fontId="12" fillId="0" borderId="0" xfId="1" applyFont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vertical="center" wrapText="1"/>
    </xf>
    <xf numFmtId="0" fontId="11" fillId="0" borderId="8" xfId="1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/>
    </xf>
    <xf numFmtId="0" fontId="11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 vertical="top"/>
    </xf>
    <xf numFmtId="4" fontId="18" fillId="0" borderId="0" xfId="0" applyNumberFormat="1" applyFont="1" applyBorder="1" applyAlignment="1">
      <alignment horizontal="right" vertical="top"/>
    </xf>
    <xf numFmtId="0" fontId="27" fillId="0" borderId="0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top"/>
    </xf>
    <xf numFmtId="0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4" fontId="24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4" fontId="29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4" fontId="24" fillId="3" borderId="1" xfId="0" applyNumberFormat="1" applyFont="1" applyFill="1" applyBorder="1" applyAlignment="1">
      <alignment horizontal="center"/>
    </xf>
    <xf numFmtId="4" fontId="18" fillId="0" borderId="9" xfId="0" applyNumberFormat="1" applyFont="1" applyBorder="1" applyAlignment="1">
      <alignment horizontal="right" vertical="top"/>
    </xf>
    <xf numFmtId="10" fontId="22" fillId="0" borderId="1" xfId="7" applyNumberFormat="1" applyFont="1" applyBorder="1" applyAlignment="1">
      <alignment horizontal="center" vertical="center"/>
    </xf>
    <xf numFmtId="0" fontId="12" fillId="2" borderId="1" xfId="1" applyFont="1" applyFill="1" applyBorder="1" applyAlignment="1">
      <alignment horizontal="right" vertical="center" wrapText="1"/>
    </xf>
    <xf numFmtId="0" fontId="13" fillId="0" borderId="0" xfId="1" applyFont="1" applyBorder="1" applyAlignment="1">
      <alignment horizontal="left" vertical="top"/>
    </xf>
    <xf numFmtId="0" fontId="12" fillId="2" borderId="2" xfId="1" applyFont="1" applyFill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0" fontId="12" fillId="0" borderId="0" xfId="1" applyFont="1" applyBorder="1" applyAlignment="1">
      <alignment horizontal="center" vertical="top"/>
    </xf>
    <xf numFmtId="4" fontId="12" fillId="0" borderId="0" xfId="1" applyNumberFormat="1" applyFont="1" applyFill="1" applyBorder="1" applyAlignment="1">
      <alignment horizontal="right"/>
    </xf>
    <xf numFmtId="0" fontId="17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/>
    </xf>
    <xf numFmtId="0" fontId="12" fillId="2" borderId="2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/>
    </xf>
    <xf numFmtId="0" fontId="12" fillId="2" borderId="4" xfId="1" applyFont="1" applyFill="1" applyBorder="1" applyAlignment="1">
      <alignment horizontal="right" vertical="center" wrapText="1"/>
    </xf>
    <xf numFmtId="0" fontId="13" fillId="0" borderId="0" xfId="1" applyFont="1" applyBorder="1" applyAlignment="1">
      <alignment horizontal="right" vertical="top"/>
    </xf>
    <xf numFmtId="0" fontId="12" fillId="0" borderId="1" xfId="1" applyFont="1" applyBorder="1" applyAlignment="1">
      <alignment horizontal="right" vertical="center" wrapText="1"/>
    </xf>
    <xf numFmtId="0" fontId="12" fillId="0" borderId="1" xfId="1" applyFont="1" applyFill="1" applyBorder="1" applyAlignment="1">
      <alignment horizontal="right" vertical="center" wrapText="1"/>
    </xf>
    <xf numFmtId="0" fontId="21" fillId="0" borderId="0" xfId="1" applyFont="1" applyBorder="1" applyAlignment="1">
      <alignment horizontal="center" vertical="top"/>
    </xf>
    <xf numFmtId="0" fontId="12" fillId="11" borderId="6" xfId="1" applyFont="1" applyFill="1" applyBorder="1" applyAlignment="1">
      <alignment horizontal="right" vertical="center" wrapText="1"/>
    </xf>
    <xf numFmtId="0" fontId="12" fillId="11" borderId="7" xfId="1" applyFont="1" applyFill="1" applyBorder="1" applyAlignment="1">
      <alignment horizontal="right" vertical="center" wrapText="1"/>
    </xf>
    <xf numFmtId="0" fontId="12" fillId="11" borderId="8" xfId="1" applyFont="1" applyFill="1" applyBorder="1" applyAlignment="1">
      <alignment horizontal="right" vertical="center" wrapText="1"/>
    </xf>
    <xf numFmtId="0" fontId="12" fillId="11" borderId="1" xfId="1" applyFont="1" applyFill="1" applyBorder="1" applyAlignment="1">
      <alignment horizontal="right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/>
    </xf>
    <xf numFmtId="0" fontId="12" fillId="10" borderId="1" xfId="1" applyFont="1" applyFill="1" applyBorder="1" applyAlignment="1">
      <alignment horizontal="center" vertical="center" wrapText="1"/>
    </xf>
    <xf numFmtId="0" fontId="12" fillId="10" borderId="1" xfId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justify"/>
    </xf>
    <xf numFmtId="0" fontId="21" fillId="0" borderId="1" xfId="0" applyFont="1" applyFill="1" applyBorder="1" applyAlignment="1">
      <alignment horizontal="left"/>
    </xf>
    <xf numFmtId="0" fontId="12" fillId="9" borderId="13" xfId="1" applyFont="1" applyFill="1" applyBorder="1" applyAlignment="1">
      <alignment horizontal="right" vertical="center" wrapText="1"/>
    </xf>
    <xf numFmtId="0" fontId="12" fillId="9" borderId="14" xfId="1" applyFont="1" applyFill="1" applyBorder="1" applyAlignment="1">
      <alignment horizontal="right" vertical="center" wrapText="1"/>
    </xf>
    <xf numFmtId="0" fontId="12" fillId="9" borderId="15" xfId="1" applyFont="1" applyFill="1" applyBorder="1" applyAlignment="1">
      <alignment horizontal="right" vertical="center" wrapText="1"/>
    </xf>
    <xf numFmtId="0" fontId="12" fillId="9" borderId="2" xfId="1" applyFont="1" applyFill="1" applyBorder="1" applyAlignment="1">
      <alignment horizontal="center" vertical="center" wrapText="1"/>
    </xf>
    <xf numFmtId="0" fontId="14" fillId="9" borderId="2" xfId="1" applyFont="1" applyFill="1" applyBorder="1" applyAlignment="1">
      <alignment horizontal="center" vertical="center"/>
    </xf>
    <xf numFmtId="0" fontId="17" fillId="0" borderId="0" xfId="1" applyFont="1" applyBorder="1" applyAlignment="1">
      <alignment horizontal="center"/>
    </xf>
    <xf numFmtId="0" fontId="12" fillId="9" borderId="6" xfId="1" applyFont="1" applyFill="1" applyBorder="1" applyAlignment="1">
      <alignment horizontal="right" vertical="center" wrapText="1"/>
    </xf>
    <xf numFmtId="0" fontId="12" fillId="9" borderId="7" xfId="1" applyFont="1" applyFill="1" applyBorder="1" applyAlignment="1">
      <alignment horizontal="right" vertical="center" wrapText="1"/>
    </xf>
    <xf numFmtId="0" fontId="12" fillId="9" borderId="8" xfId="1" applyFont="1" applyFill="1" applyBorder="1" applyAlignment="1">
      <alignment horizontal="right" vertical="center" wrapText="1"/>
    </xf>
    <xf numFmtId="0" fontId="17" fillId="0" borderId="0" xfId="1" applyFont="1" applyFill="1" applyBorder="1" applyAlignment="1">
      <alignment horizontal="center"/>
    </xf>
    <xf numFmtId="0" fontId="12" fillId="9" borderId="10" xfId="1" applyFont="1" applyFill="1" applyBorder="1" applyAlignment="1">
      <alignment horizontal="right" vertical="center" wrapText="1"/>
    </xf>
    <xf numFmtId="0" fontId="12" fillId="9" borderId="11" xfId="1" applyFont="1" applyFill="1" applyBorder="1" applyAlignment="1">
      <alignment horizontal="right" vertical="center" wrapText="1"/>
    </xf>
    <xf numFmtId="0" fontId="12" fillId="9" borderId="12" xfId="1" applyFont="1" applyFill="1" applyBorder="1" applyAlignment="1">
      <alignment horizontal="right" vertical="center" wrapText="1"/>
    </xf>
    <xf numFmtId="0" fontId="12" fillId="9" borderId="18" xfId="1" applyFont="1" applyFill="1" applyBorder="1" applyAlignment="1">
      <alignment horizontal="right" vertical="center" wrapText="1"/>
    </xf>
    <xf numFmtId="0" fontId="12" fillId="9" borderId="19" xfId="1" applyFont="1" applyFill="1" applyBorder="1" applyAlignment="1">
      <alignment horizontal="right" vertical="center" wrapText="1"/>
    </xf>
    <xf numFmtId="0" fontId="12" fillId="9" borderId="2" xfId="1" applyFont="1" applyFill="1" applyBorder="1" applyAlignment="1">
      <alignment horizontal="right" vertical="center" wrapText="1"/>
    </xf>
  </cellXfs>
  <cellStyles count="16">
    <cellStyle name="Estilo 1" xfId="12"/>
    <cellStyle name="Excel Built-in Normal" xfId="2"/>
    <cellStyle name="Excel Built-in Normal 1" xfId="13"/>
    <cellStyle name="Moeda" xfId="10" builtinId="4"/>
    <cellStyle name="Moeda 2" xfId="3"/>
    <cellStyle name="Normal" xfId="0" builtinId="0"/>
    <cellStyle name="Normal 2" xfId="4"/>
    <cellStyle name="Normal 2 2" xfId="14"/>
    <cellStyle name="Normal 3" xfId="1"/>
    <cellStyle name="Normal 3 2" xfId="11"/>
    <cellStyle name="Normal 4" xfId="15"/>
    <cellStyle name="Normal 5" xfId="5"/>
    <cellStyle name="Porcentagem 2" xfId="7"/>
    <cellStyle name="Porcentagem 3" xfId="6"/>
    <cellStyle name="Separador de milhares 2" xfId="9"/>
    <cellStyle name="Separador de milhares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view="pageBreakPreview" zoomScaleSheetLayoutView="100" workbookViewId="0">
      <selection activeCell="C3" sqref="C3"/>
    </sheetView>
  </sheetViews>
  <sheetFormatPr defaultRowHeight="15"/>
  <cols>
    <col min="1" max="1" width="6.28515625" style="66" customWidth="1"/>
    <col min="2" max="2" width="18.5703125" style="66" customWidth="1"/>
    <col min="3" max="3" width="41.85546875" style="66" customWidth="1"/>
    <col min="4" max="4" width="11.28515625" style="66" customWidth="1"/>
    <col min="5" max="5" width="10.7109375" style="66" customWidth="1"/>
    <col min="6" max="6" width="12.28515625" style="66" customWidth="1"/>
    <col min="7" max="7" width="16.42578125" style="79" customWidth="1"/>
    <col min="8" max="8" width="10.85546875" style="66" bestFit="1" customWidth="1"/>
    <col min="9" max="10" width="15.85546875" style="66" bestFit="1" customWidth="1"/>
    <col min="11" max="11" width="14" style="66" bestFit="1" customWidth="1"/>
    <col min="12" max="255" width="9.140625" style="66"/>
    <col min="256" max="256" width="6.28515625" style="66" customWidth="1"/>
    <col min="257" max="257" width="9.5703125" style="66" customWidth="1"/>
    <col min="258" max="258" width="20.7109375" style="66" customWidth="1"/>
    <col min="259" max="259" width="44.7109375" style="66" customWidth="1"/>
    <col min="260" max="260" width="11.28515625" style="66" customWidth="1"/>
    <col min="261" max="261" width="10.7109375" style="66" customWidth="1"/>
    <col min="262" max="262" width="12.28515625" style="66" customWidth="1"/>
    <col min="263" max="263" width="18.140625" style="66" customWidth="1"/>
    <col min="264" max="264" width="10.85546875" style="66" bestFit="1" customWidth="1"/>
    <col min="265" max="265" width="14" style="66" bestFit="1" customWidth="1"/>
    <col min="266" max="266" width="9.28515625" style="66" bestFit="1" customWidth="1"/>
    <col min="267" max="267" width="14" style="66" bestFit="1" customWidth="1"/>
    <col min="268" max="511" width="9.140625" style="66"/>
    <col min="512" max="512" width="6.28515625" style="66" customWidth="1"/>
    <col min="513" max="513" width="9.5703125" style="66" customWidth="1"/>
    <col min="514" max="514" width="20.7109375" style="66" customWidth="1"/>
    <col min="515" max="515" width="44.7109375" style="66" customWidth="1"/>
    <col min="516" max="516" width="11.28515625" style="66" customWidth="1"/>
    <col min="517" max="517" width="10.7109375" style="66" customWidth="1"/>
    <col min="518" max="518" width="12.28515625" style="66" customWidth="1"/>
    <col min="519" max="519" width="18.140625" style="66" customWidth="1"/>
    <col min="520" max="520" width="10.85546875" style="66" bestFit="1" customWidth="1"/>
    <col min="521" max="521" width="14" style="66" bestFit="1" customWidth="1"/>
    <col min="522" max="522" width="9.28515625" style="66" bestFit="1" customWidth="1"/>
    <col min="523" max="523" width="14" style="66" bestFit="1" customWidth="1"/>
    <col min="524" max="767" width="9.140625" style="66"/>
    <col min="768" max="768" width="6.28515625" style="66" customWidth="1"/>
    <col min="769" max="769" width="9.5703125" style="66" customWidth="1"/>
    <col min="770" max="770" width="20.7109375" style="66" customWidth="1"/>
    <col min="771" max="771" width="44.7109375" style="66" customWidth="1"/>
    <col min="772" max="772" width="11.28515625" style="66" customWidth="1"/>
    <col min="773" max="773" width="10.7109375" style="66" customWidth="1"/>
    <col min="774" max="774" width="12.28515625" style="66" customWidth="1"/>
    <col min="775" max="775" width="18.140625" style="66" customWidth="1"/>
    <col min="776" max="776" width="10.85546875" style="66" bestFit="1" customWidth="1"/>
    <col min="777" max="777" width="14" style="66" bestFit="1" customWidth="1"/>
    <col min="778" max="778" width="9.28515625" style="66" bestFit="1" customWidth="1"/>
    <col min="779" max="779" width="14" style="66" bestFit="1" customWidth="1"/>
    <col min="780" max="1023" width="9.140625" style="66"/>
    <col min="1024" max="1024" width="6.28515625" style="66" customWidth="1"/>
    <col min="1025" max="1025" width="9.5703125" style="66" customWidth="1"/>
    <col min="1026" max="1026" width="20.7109375" style="66" customWidth="1"/>
    <col min="1027" max="1027" width="44.7109375" style="66" customWidth="1"/>
    <col min="1028" max="1028" width="11.28515625" style="66" customWidth="1"/>
    <col min="1029" max="1029" width="10.7109375" style="66" customWidth="1"/>
    <col min="1030" max="1030" width="12.28515625" style="66" customWidth="1"/>
    <col min="1031" max="1031" width="18.140625" style="66" customWidth="1"/>
    <col min="1032" max="1032" width="10.85546875" style="66" bestFit="1" customWidth="1"/>
    <col min="1033" max="1033" width="14" style="66" bestFit="1" customWidth="1"/>
    <col min="1034" max="1034" width="9.28515625" style="66" bestFit="1" customWidth="1"/>
    <col min="1035" max="1035" width="14" style="66" bestFit="1" customWidth="1"/>
    <col min="1036" max="1279" width="9.140625" style="66"/>
    <col min="1280" max="1280" width="6.28515625" style="66" customWidth="1"/>
    <col min="1281" max="1281" width="9.5703125" style="66" customWidth="1"/>
    <col min="1282" max="1282" width="20.7109375" style="66" customWidth="1"/>
    <col min="1283" max="1283" width="44.7109375" style="66" customWidth="1"/>
    <col min="1284" max="1284" width="11.28515625" style="66" customWidth="1"/>
    <col min="1285" max="1285" width="10.7109375" style="66" customWidth="1"/>
    <col min="1286" max="1286" width="12.28515625" style="66" customWidth="1"/>
    <col min="1287" max="1287" width="18.140625" style="66" customWidth="1"/>
    <col min="1288" max="1288" width="10.85546875" style="66" bestFit="1" customWidth="1"/>
    <col min="1289" max="1289" width="14" style="66" bestFit="1" customWidth="1"/>
    <col min="1290" max="1290" width="9.28515625" style="66" bestFit="1" customWidth="1"/>
    <col min="1291" max="1291" width="14" style="66" bestFit="1" customWidth="1"/>
    <col min="1292" max="1535" width="9.140625" style="66"/>
    <col min="1536" max="1536" width="6.28515625" style="66" customWidth="1"/>
    <col min="1537" max="1537" width="9.5703125" style="66" customWidth="1"/>
    <col min="1538" max="1538" width="20.7109375" style="66" customWidth="1"/>
    <col min="1539" max="1539" width="44.7109375" style="66" customWidth="1"/>
    <col min="1540" max="1540" width="11.28515625" style="66" customWidth="1"/>
    <col min="1541" max="1541" width="10.7109375" style="66" customWidth="1"/>
    <col min="1542" max="1542" width="12.28515625" style="66" customWidth="1"/>
    <col min="1543" max="1543" width="18.140625" style="66" customWidth="1"/>
    <col min="1544" max="1544" width="10.85546875" style="66" bestFit="1" customWidth="1"/>
    <col min="1545" max="1545" width="14" style="66" bestFit="1" customWidth="1"/>
    <col min="1546" max="1546" width="9.28515625" style="66" bestFit="1" customWidth="1"/>
    <col min="1547" max="1547" width="14" style="66" bestFit="1" customWidth="1"/>
    <col min="1548" max="1791" width="9.140625" style="66"/>
    <col min="1792" max="1792" width="6.28515625" style="66" customWidth="1"/>
    <col min="1793" max="1793" width="9.5703125" style="66" customWidth="1"/>
    <col min="1794" max="1794" width="20.7109375" style="66" customWidth="1"/>
    <col min="1795" max="1795" width="44.7109375" style="66" customWidth="1"/>
    <col min="1796" max="1796" width="11.28515625" style="66" customWidth="1"/>
    <col min="1797" max="1797" width="10.7109375" style="66" customWidth="1"/>
    <col min="1798" max="1798" width="12.28515625" style="66" customWidth="1"/>
    <col min="1799" max="1799" width="18.140625" style="66" customWidth="1"/>
    <col min="1800" max="1800" width="10.85546875" style="66" bestFit="1" customWidth="1"/>
    <col min="1801" max="1801" width="14" style="66" bestFit="1" customWidth="1"/>
    <col min="1802" max="1802" width="9.28515625" style="66" bestFit="1" customWidth="1"/>
    <col min="1803" max="1803" width="14" style="66" bestFit="1" customWidth="1"/>
    <col min="1804" max="2047" width="9.140625" style="66"/>
    <col min="2048" max="2048" width="6.28515625" style="66" customWidth="1"/>
    <col min="2049" max="2049" width="9.5703125" style="66" customWidth="1"/>
    <col min="2050" max="2050" width="20.7109375" style="66" customWidth="1"/>
    <col min="2051" max="2051" width="44.7109375" style="66" customWidth="1"/>
    <col min="2052" max="2052" width="11.28515625" style="66" customWidth="1"/>
    <col min="2053" max="2053" width="10.7109375" style="66" customWidth="1"/>
    <col min="2054" max="2054" width="12.28515625" style="66" customWidth="1"/>
    <col min="2055" max="2055" width="18.140625" style="66" customWidth="1"/>
    <col min="2056" max="2056" width="10.85546875" style="66" bestFit="1" customWidth="1"/>
    <col min="2057" max="2057" width="14" style="66" bestFit="1" customWidth="1"/>
    <col min="2058" max="2058" width="9.28515625" style="66" bestFit="1" customWidth="1"/>
    <col min="2059" max="2059" width="14" style="66" bestFit="1" customWidth="1"/>
    <col min="2060" max="2303" width="9.140625" style="66"/>
    <col min="2304" max="2304" width="6.28515625" style="66" customWidth="1"/>
    <col min="2305" max="2305" width="9.5703125" style="66" customWidth="1"/>
    <col min="2306" max="2306" width="20.7109375" style="66" customWidth="1"/>
    <col min="2307" max="2307" width="44.7109375" style="66" customWidth="1"/>
    <col min="2308" max="2308" width="11.28515625" style="66" customWidth="1"/>
    <col min="2309" max="2309" width="10.7109375" style="66" customWidth="1"/>
    <col min="2310" max="2310" width="12.28515625" style="66" customWidth="1"/>
    <col min="2311" max="2311" width="18.140625" style="66" customWidth="1"/>
    <col min="2312" max="2312" width="10.85546875" style="66" bestFit="1" customWidth="1"/>
    <col min="2313" max="2313" width="14" style="66" bestFit="1" customWidth="1"/>
    <col min="2314" max="2314" width="9.28515625" style="66" bestFit="1" customWidth="1"/>
    <col min="2315" max="2315" width="14" style="66" bestFit="1" customWidth="1"/>
    <col min="2316" max="2559" width="9.140625" style="66"/>
    <col min="2560" max="2560" width="6.28515625" style="66" customWidth="1"/>
    <col min="2561" max="2561" width="9.5703125" style="66" customWidth="1"/>
    <col min="2562" max="2562" width="20.7109375" style="66" customWidth="1"/>
    <col min="2563" max="2563" width="44.7109375" style="66" customWidth="1"/>
    <col min="2564" max="2564" width="11.28515625" style="66" customWidth="1"/>
    <col min="2565" max="2565" width="10.7109375" style="66" customWidth="1"/>
    <col min="2566" max="2566" width="12.28515625" style="66" customWidth="1"/>
    <col min="2567" max="2567" width="18.140625" style="66" customWidth="1"/>
    <col min="2568" max="2568" width="10.85546875" style="66" bestFit="1" customWidth="1"/>
    <col min="2569" max="2569" width="14" style="66" bestFit="1" customWidth="1"/>
    <col min="2570" max="2570" width="9.28515625" style="66" bestFit="1" customWidth="1"/>
    <col min="2571" max="2571" width="14" style="66" bestFit="1" customWidth="1"/>
    <col min="2572" max="2815" width="9.140625" style="66"/>
    <col min="2816" max="2816" width="6.28515625" style="66" customWidth="1"/>
    <col min="2817" max="2817" width="9.5703125" style="66" customWidth="1"/>
    <col min="2818" max="2818" width="20.7109375" style="66" customWidth="1"/>
    <col min="2819" max="2819" width="44.7109375" style="66" customWidth="1"/>
    <col min="2820" max="2820" width="11.28515625" style="66" customWidth="1"/>
    <col min="2821" max="2821" width="10.7109375" style="66" customWidth="1"/>
    <col min="2822" max="2822" width="12.28515625" style="66" customWidth="1"/>
    <col min="2823" max="2823" width="18.140625" style="66" customWidth="1"/>
    <col min="2824" max="2824" width="10.85546875" style="66" bestFit="1" customWidth="1"/>
    <col min="2825" max="2825" width="14" style="66" bestFit="1" customWidth="1"/>
    <col min="2826" max="2826" width="9.28515625" style="66" bestFit="1" customWidth="1"/>
    <col min="2827" max="2827" width="14" style="66" bestFit="1" customWidth="1"/>
    <col min="2828" max="3071" width="9.140625" style="66"/>
    <col min="3072" max="3072" width="6.28515625" style="66" customWidth="1"/>
    <col min="3073" max="3073" width="9.5703125" style="66" customWidth="1"/>
    <col min="3074" max="3074" width="20.7109375" style="66" customWidth="1"/>
    <col min="3075" max="3075" width="44.7109375" style="66" customWidth="1"/>
    <col min="3076" max="3076" width="11.28515625" style="66" customWidth="1"/>
    <col min="3077" max="3077" width="10.7109375" style="66" customWidth="1"/>
    <col min="3078" max="3078" width="12.28515625" style="66" customWidth="1"/>
    <col min="3079" max="3079" width="18.140625" style="66" customWidth="1"/>
    <col min="3080" max="3080" width="10.85546875" style="66" bestFit="1" customWidth="1"/>
    <col min="3081" max="3081" width="14" style="66" bestFit="1" customWidth="1"/>
    <col min="3082" max="3082" width="9.28515625" style="66" bestFit="1" customWidth="1"/>
    <col min="3083" max="3083" width="14" style="66" bestFit="1" customWidth="1"/>
    <col min="3084" max="3327" width="9.140625" style="66"/>
    <col min="3328" max="3328" width="6.28515625" style="66" customWidth="1"/>
    <col min="3329" max="3329" width="9.5703125" style="66" customWidth="1"/>
    <col min="3330" max="3330" width="20.7109375" style="66" customWidth="1"/>
    <col min="3331" max="3331" width="44.7109375" style="66" customWidth="1"/>
    <col min="3332" max="3332" width="11.28515625" style="66" customWidth="1"/>
    <col min="3333" max="3333" width="10.7109375" style="66" customWidth="1"/>
    <col min="3334" max="3334" width="12.28515625" style="66" customWidth="1"/>
    <col min="3335" max="3335" width="18.140625" style="66" customWidth="1"/>
    <col min="3336" max="3336" width="10.85546875" style="66" bestFit="1" customWidth="1"/>
    <col min="3337" max="3337" width="14" style="66" bestFit="1" customWidth="1"/>
    <col min="3338" max="3338" width="9.28515625" style="66" bestFit="1" customWidth="1"/>
    <col min="3339" max="3339" width="14" style="66" bestFit="1" customWidth="1"/>
    <col min="3340" max="3583" width="9.140625" style="66"/>
    <col min="3584" max="3584" width="6.28515625" style="66" customWidth="1"/>
    <col min="3585" max="3585" width="9.5703125" style="66" customWidth="1"/>
    <col min="3586" max="3586" width="20.7109375" style="66" customWidth="1"/>
    <col min="3587" max="3587" width="44.7109375" style="66" customWidth="1"/>
    <col min="3588" max="3588" width="11.28515625" style="66" customWidth="1"/>
    <col min="3589" max="3589" width="10.7109375" style="66" customWidth="1"/>
    <col min="3590" max="3590" width="12.28515625" style="66" customWidth="1"/>
    <col min="3591" max="3591" width="18.140625" style="66" customWidth="1"/>
    <col min="3592" max="3592" width="10.85546875" style="66" bestFit="1" customWidth="1"/>
    <col min="3593" max="3593" width="14" style="66" bestFit="1" customWidth="1"/>
    <col min="3594" max="3594" width="9.28515625" style="66" bestFit="1" customWidth="1"/>
    <col min="3595" max="3595" width="14" style="66" bestFit="1" customWidth="1"/>
    <col min="3596" max="3839" width="9.140625" style="66"/>
    <col min="3840" max="3840" width="6.28515625" style="66" customWidth="1"/>
    <col min="3841" max="3841" width="9.5703125" style="66" customWidth="1"/>
    <col min="3842" max="3842" width="20.7109375" style="66" customWidth="1"/>
    <col min="3843" max="3843" width="44.7109375" style="66" customWidth="1"/>
    <col min="3844" max="3844" width="11.28515625" style="66" customWidth="1"/>
    <col min="3845" max="3845" width="10.7109375" style="66" customWidth="1"/>
    <col min="3846" max="3846" width="12.28515625" style="66" customWidth="1"/>
    <col min="3847" max="3847" width="18.140625" style="66" customWidth="1"/>
    <col min="3848" max="3848" width="10.85546875" style="66" bestFit="1" customWidth="1"/>
    <col min="3849" max="3849" width="14" style="66" bestFit="1" customWidth="1"/>
    <col min="3850" max="3850" width="9.28515625" style="66" bestFit="1" customWidth="1"/>
    <col min="3851" max="3851" width="14" style="66" bestFit="1" customWidth="1"/>
    <col min="3852" max="4095" width="9.140625" style="66"/>
    <col min="4096" max="4096" width="6.28515625" style="66" customWidth="1"/>
    <col min="4097" max="4097" width="9.5703125" style="66" customWidth="1"/>
    <col min="4098" max="4098" width="20.7109375" style="66" customWidth="1"/>
    <col min="4099" max="4099" width="44.7109375" style="66" customWidth="1"/>
    <col min="4100" max="4100" width="11.28515625" style="66" customWidth="1"/>
    <col min="4101" max="4101" width="10.7109375" style="66" customWidth="1"/>
    <col min="4102" max="4102" width="12.28515625" style="66" customWidth="1"/>
    <col min="4103" max="4103" width="18.140625" style="66" customWidth="1"/>
    <col min="4104" max="4104" width="10.85546875" style="66" bestFit="1" customWidth="1"/>
    <col min="4105" max="4105" width="14" style="66" bestFit="1" customWidth="1"/>
    <col min="4106" max="4106" width="9.28515625" style="66" bestFit="1" customWidth="1"/>
    <col min="4107" max="4107" width="14" style="66" bestFit="1" customWidth="1"/>
    <col min="4108" max="4351" width="9.140625" style="66"/>
    <col min="4352" max="4352" width="6.28515625" style="66" customWidth="1"/>
    <col min="4353" max="4353" width="9.5703125" style="66" customWidth="1"/>
    <col min="4354" max="4354" width="20.7109375" style="66" customWidth="1"/>
    <col min="4355" max="4355" width="44.7109375" style="66" customWidth="1"/>
    <col min="4356" max="4356" width="11.28515625" style="66" customWidth="1"/>
    <col min="4357" max="4357" width="10.7109375" style="66" customWidth="1"/>
    <col min="4358" max="4358" width="12.28515625" style="66" customWidth="1"/>
    <col min="4359" max="4359" width="18.140625" style="66" customWidth="1"/>
    <col min="4360" max="4360" width="10.85546875" style="66" bestFit="1" customWidth="1"/>
    <col min="4361" max="4361" width="14" style="66" bestFit="1" customWidth="1"/>
    <col min="4362" max="4362" width="9.28515625" style="66" bestFit="1" customWidth="1"/>
    <col min="4363" max="4363" width="14" style="66" bestFit="1" customWidth="1"/>
    <col min="4364" max="4607" width="9.140625" style="66"/>
    <col min="4608" max="4608" width="6.28515625" style="66" customWidth="1"/>
    <col min="4609" max="4609" width="9.5703125" style="66" customWidth="1"/>
    <col min="4610" max="4610" width="20.7109375" style="66" customWidth="1"/>
    <col min="4611" max="4611" width="44.7109375" style="66" customWidth="1"/>
    <col min="4612" max="4612" width="11.28515625" style="66" customWidth="1"/>
    <col min="4613" max="4613" width="10.7109375" style="66" customWidth="1"/>
    <col min="4614" max="4614" width="12.28515625" style="66" customWidth="1"/>
    <col min="4615" max="4615" width="18.140625" style="66" customWidth="1"/>
    <col min="4616" max="4616" width="10.85546875" style="66" bestFit="1" customWidth="1"/>
    <col min="4617" max="4617" width="14" style="66" bestFit="1" customWidth="1"/>
    <col min="4618" max="4618" width="9.28515625" style="66" bestFit="1" customWidth="1"/>
    <col min="4619" max="4619" width="14" style="66" bestFit="1" customWidth="1"/>
    <col min="4620" max="4863" width="9.140625" style="66"/>
    <col min="4864" max="4864" width="6.28515625" style="66" customWidth="1"/>
    <col min="4865" max="4865" width="9.5703125" style="66" customWidth="1"/>
    <col min="4866" max="4866" width="20.7109375" style="66" customWidth="1"/>
    <col min="4867" max="4867" width="44.7109375" style="66" customWidth="1"/>
    <col min="4868" max="4868" width="11.28515625" style="66" customWidth="1"/>
    <col min="4869" max="4869" width="10.7109375" style="66" customWidth="1"/>
    <col min="4870" max="4870" width="12.28515625" style="66" customWidth="1"/>
    <col min="4871" max="4871" width="18.140625" style="66" customWidth="1"/>
    <col min="4872" max="4872" width="10.85546875" style="66" bestFit="1" customWidth="1"/>
    <col min="4873" max="4873" width="14" style="66" bestFit="1" customWidth="1"/>
    <col min="4874" max="4874" width="9.28515625" style="66" bestFit="1" customWidth="1"/>
    <col min="4875" max="4875" width="14" style="66" bestFit="1" customWidth="1"/>
    <col min="4876" max="5119" width="9.140625" style="66"/>
    <col min="5120" max="5120" width="6.28515625" style="66" customWidth="1"/>
    <col min="5121" max="5121" width="9.5703125" style="66" customWidth="1"/>
    <col min="5122" max="5122" width="20.7109375" style="66" customWidth="1"/>
    <col min="5123" max="5123" width="44.7109375" style="66" customWidth="1"/>
    <col min="5124" max="5124" width="11.28515625" style="66" customWidth="1"/>
    <col min="5125" max="5125" width="10.7109375" style="66" customWidth="1"/>
    <col min="5126" max="5126" width="12.28515625" style="66" customWidth="1"/>
    <col min="5127" max="5127" width="18.140625" style="66" customWidth="1"/>
    <col min="5128" max="5128" width="10.85546875" style="66" bestFit="1" customWidth="1"/>
    <col min="5129" max="5129" width="14" style="66" bestFit="1" customWidth="1"/>
    <col min="5130" max="5130" width="9.28515625" style="66" bestFit="1" customWidth="1"/>
    <col min="5131" max="5131" width="14" style="66" bestFit="1" customWidth="1"/>
    <col min="5132" max="5375" width="9.140625" style="66"/>
    <col min="5376" max="5376" width="6.28515625" style="66" customWidth="1"/>
    <col min="5377" max="5377" width="9.5703125" style="66" customWidth="1"/>
    <col min="5378" max="5378" width="20.7109375" style="66" customWidth="1"/>
    <col min="5379" max="5379" width="44.7109375" style="66" customWidth="1"/>
    <col min="5380" max="5380" width="11.28515625" style="66" customWidth="1"/>
    <col min="5381" max="5381" width="10.7109375" style="66" customWidth="1"/>
    <col min="5382" max="5382" width="12.28515625" style="66" customWidth="1"/>
    <col min="5383" max="5383" width="18.140625" style="66" customWidth="1"/>
    <col min="5384" max="5384" width="10.85546875" style="66" bestFit="1" customWidth="1"/>
    <col min="5385" max="5385" width="14" style="66" bestFit="1" customWidth="1"/>
    <col min="5386" max="5386" width="9.28515625" style="66" bestFit="1" customWidth="1"/>
    <col min="5387" max="5387" width="14" style="66" bestFit="1" customWidth="1"/>
    <col min="5388" max="5631" width="9.140625" style="66"/>
    <col min="5632" max="5632" width="6.28515625" style="66" customWidth="1"/>
    <col min="5633" max="5633" width="9.5703125" style="66" customWidth="1"/>
    <col min="5634" max="5634" width="20.7109375" style="66" customWidth="1"/>
    <col min="5635" max="5635" width="44.7109375" style="66" customWidth="1"/>
    <col min="5636" max="5636" width="11.28515625" style="66" customWidth="1"/>
    <col min="5637" max="5637" width="10.7109375" style="66" customWidth="1"/>
    <col min="5638" max="5638" width="12.28515625" style="66" customWidth="1"/>
    <col min="5639" max="5639" width="18.140625" style="66" customWidth="1"/>
    <col min="5640" max="5640" width="10.85546875" style="66" bestFit="1" customWidth="1"/>
    <col min="5641" max="5641" width="14" style="66" bestFit="1" customWidth="1"/>
    <col min="5642" max="5642" width="9.28515625" style="66" bestFit="1" customWidth="1"/>
    <col min="5643" max="5643" width="14" style="66" bestFit="1" customWidth="1"/>
    <col min="5644" max="5887" width="9.140625" style="66"/>
    <col min="5888" max="5888" width="6.28515625" style="66" customWidth="1"/>
    <col min="5889" max="5889" width="9.5703125" style="66" customWidth="1"/>
    <col min="5890" max="5890" width="20.7109375" style="66" customWidth="1"/>
    <col min="5891" max="5891" width="44.7109375" style="66" customWidth="1"/>
    <col min="5892" max="5892" width="11.28515625" style="66" customWidth="1"/>
    <col min="5893" max="5893" width="10.7109375" style="66" customWidth="1"/>
    <col min="5894" max="5894" width="12.28515625" style="66" customWidth="1"/>
    <col min="5895" max="5895" width="18.140625" style="66" customWidth="1"/>
    <col min="5896" max="5896" width="10.85546875" style="66" bestFit="1" customWidth="1"/>
    <col min="5897" max="5897" width="14" style="66" bestFit="1" customWidth="1"/>
    <col min="5898" max="5898" width="9.28515625" style="66" bestFit="1" customWidth="1"/>
    <col min="5899" max="5899" width="14" style="66" bestFit="1" customWidth="1"/>
    <col min="5900" max="6143" width="9.140625" style="66"/>
    <col min="6144" max="6144" width="6.28515625" style="66" customWidth="1"/>
    <col min="6145" max="6145" width="9.5703125" style="66" customWidth="1"/>
    <col min="6146" max="6146" width="20.7109375" style="66" customWidth="1"/>
    <col min="6147" max="6147" width="44.7109375" style="66" customWidth="1"/>
    <col min="6148" max="6148" width="11.28515625" style="66" customWidth="1"/>
    <col min="6149" max="6149" width="10.7109375" style="66" customWidth="1"/>
    <col min="6150" max="6150" width="12.28515625" style="66" customWidth="1"/>
    <col min="6151" max="6151" width="18.140625" style="66" customWidth="1"/>
    <col min="6152" max="6152" width="10.85546875" style="66" bestFit="1" customWidth="1"/>
    <col min="6153" max="6153" width="14" style="66" bestFit="1" customWidth="1"/>
    <col min="6154" max="6154" width="9.28515625" style="66" bestFit="1" customWidth="1"/>
    <col min="6155" max="6155" width="14" style="66" bestFit="1" customWidth="1"/>
    <col min="6156" max="6399" width="9.140625" style="66"/>
    <col min="6400" max="6400" width="6.28515625" style="66" customWidth="1"/>
    <col min="6401" max="6401" width="9.5703125" style="66" customWidth="1"/>
    <col min="6402" max="6402" width="20.7109375" style="66" customWidth="1"/>
    <col min="6403" max="6403" width="44.7109375" style="66" customWidth="1"/>
    <col min="6404" max="6404" width="11.28515625" style="66" customWidth="1"/>
    <col min="6405" max="6405" width="10.7109375" style="66" customWidth="1"/>
    <col min="6406" max="6406" width="12.28515625" style="66" customWidth="1"/>
    <col min="6407" max="6407" width="18.140625" style="66" customWidth="1"/>
    <col min="6408" max="6408" width="10.85546875" style="66" bestFit="1" customWidth="1"/>
    <col min="6409" max="6409" width="14" style="66" bestFit="1" customWidth="1"/>
    <col min="6410" max="6410" width="9.28515625" style="66" bestFit="1" customWidth="1"/>
    <col min="6411" max="6411" width="14" style="66" bestFit="1" customWidth="1"/>
    <col min="6412" max="6655" width="9.140625" style="66"/>
    <col min="6656" max="6656" width="6.28515625" style="66" customWidth="1"/>
    <col min="6657" max="6657" width="9.5703125" style="66" customWidth="1"/>
    <col min="6658" max="6658" width="20.7109375" style="66" customWidth="1"/>
    <col min="6659" max="6659" width="44.7109375" style="66" customWidth="1"/>
    <col min="6660" max="6660" width="11.28515625" style="66" customWidth="1"/>
    <col min="6661" max="6661" width="10.7109375" style="66" customWidth="1"/>
    <col min="6662" max="6662" width="12.28515625" style="66" customWidth="1"/>
    <col min="6663" max="6663" width="18.140625" style="66" customWidth="1"/>
    <col min="6664" max="6664" width="10.85546875" style="66" bestFit="1" customWidth="1"/>
    <col min="6665" max="6665" width="14" style="66" bestFit="1" customWidth="1"/>
    <col min="6666" max="6666" width="9.28515625" style="66" bestFit="1" customWidth="1"/>
    <col min="6667" max="6667" width="14" style="66" bestFit="1" customWidth="1"/>
    <col min="6668" max="6911" width="9.140625" style="66"/>
    <col min="6912" max="6912" width="6.28515625" style="66" customWidth="1"/>
    <col min="6913" max="6913" width="9.5703125" style="66" customWidth="1"/>
    <col min="6914" max="6914" width="20.7109375" style="66" customWidth="1"/>
    <col min="6915" max="6915" width="44.7109375" style="66" customWidth="1"/>
    <col min="6916" max="6916" width="11.28515625" style="66" customWidth="1"/>
    <col min="6917" max="6917" width="10.7109375" style="66" customWidth="1"/>
    <col min="6918" max="6918" width="12.28515625" style="66" customWidth="1"/>
    <col min="6919" max="6919" width="18.140625" style="66" customWidth="1"/>
    <col min="6920" max="6920" width="10.85546875" style="66" bestFit="1" customWidth="1"/>
    <col min="6921" max="6921" width="14" style="66" bestFit="1" customWidth="1"/>
    <col min="6922" max="6922" width="9.28515625" style="66" bestFit="1" customWidth="1"/>
    <col min="6923" max="6923" width="14" style="66" bestFit="1" customWidth="1"/>
    <col min="6924" max="7167" width="9.140625" style="66"/>
    <col min="7168" max="7168" width="6.28515625" style="66" customWidth="1"/>
    <col min="7169" max="7169" width="9.5703125" style="66" customWidth="1"/>
    <col min="7170" max="7170" width="20.7109375" style="66" customWidth="1"/>
    <col min="7171" max="7171" width="44.7109375" style="66" customWidth="1"/>
    <col min="7172" max="7172" width="11.28515625" style="66" customWidth="1"/>
    <col min="7173" max="7173" width="10.7109375" style="66" customWidth="1"/>
    <col min="7174" max="7174" width="12.28515625" style="66" customWidth="1"/>
    <col min="7175" max="7175" width="18.140625" style="66" customWidth="1"/>
    <col min="7176" max="7176" width="10.85546875" style="66" bestFit="1" customWidth="1"/>
    <col min="7177" max="7177" width="14" style="66" bestFit="1" customWidth="1"/>
    <col min="7178" max="7178" width="9.28515625" style="66" bestFit="1" customWidth="1"/>
    <col min="7179" max="7179" width="14" style="66" bestFit="1" customWidth="1"/>
    <col min="7180" max="7423" width="9.140625" style="66"/>
    <col min="7424" max="7424" width="6.28515625" style="66" customWidth="1"/>
    <col min="7425" max="7425" width="9.5703125" style="66" customWidth="1"/>
    <col min="7426" max="7426" width="20.7109375" style="66" customWidth="1"/>
    <col min="7427" max="7427" width="44.7109375" style="66" customWidth="1"/>
    <col min="7428" max="7428" width="11.28515625" style="66" customWidth="1"/>
    <col min="7429" max="7429" width="10.7109375" style="66" customWidth="1"/>
    <col min="7430" max="7430" width="12.28515625" style="66" customWidth="1"/>
    <col min="7431" max="7431" width="18.140625" style="66" customWidth="1"/>
    <col min="7432" max="7432" width="10.85546875" style="66" bestFit="1" customWidth="1"/>
    <col min="7433" max="7433" width="14" style="66" bestFit="1" customWidth="1"/>
    <col min="7434" max="7434" width="9.28515625" style="66" bestFit="1" customWidth="1"/>
    <col min="7435" max="7435" width="14" style="66" bestFit="1" customWidth="1"/>
    <col min="7436" max="7679" width="9.140625" style="66"/>
    <col min="7680" max="7680" width="6.28515625" style="66" customWidth="1"/>
    <col min="7681" max="7681" width="9.5703125" style="66" customWidth="1"/>
    <col min="7682" max="7682" width="20.7109375" style="66" customWidth="1"/>
    <col min="7683" max="7683" width="44.7109375" style="66" customWidth="1"/>
    <col min="7684" max="7684" width="11.28515625" style="66" customWidth="1"/>
    <col min="7685" max="7685" width="10.7109375" style="66" customWidth="1"/>
    <col min="7686" max="7686" width="12.28515625" style="66" customWidth="1"/>
    <col min="7687" max="7687" width="18.140625" style="66" customWidth="1"/>
    <col min="7688" max="7688" width="10.85546875" style="66" bestFit="1" customWidth="1"/>
    <col min="7689" max="7689" width="14" style="66" bestFit="1" customWidth="1"/>
    <col min="7690" max="7690" width="9.28515625" style="66" bestFit="1" customWidth="1"/>
    <col min="7691" max="7691" width="14" style="66" bestFit="1" customWidth="1"/>
    <col min="7692" max="7935" width="9.140625" style="66"/>
    <col min="7936" max="7936" width="6.28515625" style="66" customWidth="1"/>
    <col min="7937" max="7937" width="9.5703125" style="66" customWidth="1"/>
    <col min="7938" max="7938" width="20.7109375" style="66" customWidth="1"/>
    <col min="7939" max="7939" width="44.7109375" style="66" customWidth="1"/>
    <col min="7940" max="7940" width="11.28515625" style="66" customWidth="1"/>
    <col min="7941" max="7941" width="10.7109375" style="66" customWidth="1"/>
    <col min="7942" max="7942" width="12.28515625" style="66" customWidth="1"/>
    <col min="7943" max="7943" width="18.140625" style="66" customWidth="1"/>
    <col min="7944" max="7944" width="10.85546875" style="66" bestFit="1" customWidth="1"/>
    <col min="7945" max="7945" width="14" style="66" bestFit="1" customWidth="1"/>
    <col min="7946" max="7946" width="9.28515625" style="66" bestFit="1" customWidth="1"/>
    <col min="7947" max="7947" width="14" style="66" bestFit="1" customWidth="1"/>
    <col min="7948" max="8191" width="9.140625" style="66"/>
    <col min="8192" max="8192" width="6.28515625" style="66" customWidth="1"/>
    <col min="8193" max="8193" width="9.5703125" style="66" customWidth="1"/>
    <col min="8194" max="8194" width="20.7109375" style="66" customWidth="1"/>
    <col min="8195" max="8195" width="44.7109375" style="66" customWidth="1"/>
    <col min="8196" max="8196" width="11.28515625" style="66" customWidth="1"/>
    <col min="8197" max="8197" width="10.7109375" style="66" customWidth="1"/>
    <col min="8198" max="8198" width="12.28515625" style="66" customWidth="1"/>
    <col min="8199" max="8199" width="18.140625" style="66" customWidth="1"/>
    <col min="8200" max="8200" width="10.85546875" style="66" bestFit="1" customWidth="1"/>
    <col min="8201" max="8201" width="14" style="66" bestFit="1" customWidth="1"/>
    <col min="8202" max="8202" width="9.28515625" style="66" bestFit="1" customWidth="1"/>
    <col min="8203" max="8203" width="14" style="66" bestFit="1" customWidth="1"/>
    <col min="8204" max="8447" width="9.140625" style="66"/>
    <col min="8448" max="8448" width="6.28515625" style="66" customWidth="1"/>
    <col min="8449" max="8449" width="9.5703125" style="66" customWidth="1"/>
    <col min="8450" max="8450" width="20.7109375" style="66" customWidth="1"/>
    <col min="8451" max="8451" width="44.7109375" style="66" customWidth="1"/>
    <col min="8452" max="8452" width="11.28515625" style="66" customWidth="1"/>
    <col min="8453" max="8453" width="10.7109375" style="66" customWidth="1"/>
    <col min="8454" max="8454" width="12.28515625" style="66" customWidth="1"/>
    <col min="8455" max="8455" width="18.140625" style="66" customWidth="1"/>
    <col min="8456" max="8456" width="10.85546875" style="66" bestFit="1" customWidth="1"/>
    <col min="8457" max="8457" width="14" style="66" bestFit="1" customWidth="1"/>
    <col min="8458" max="8458" width="9.28515625" style="66" bestFit="1" customWidth="1"/>
    <col min="8459" max="8459" width="14" style="66" bestFit="1" customWidth="1"/>
    <col min="8460" max="8703" width="9.140625" style="66"/>
    <col min="8704" max="8704" width="6.28515625" style="66" customWidth="1"/>
    <col min="8705" max="8705" width="9.5703125" style="66" customWidth="1"/>
    <col min="8706" max="8706" width="20.7109375" style="66" customWidth="1"/>
    <col min="8707" max="8707" width="44.7109375" style="66" customWidth="1"/>
    <col min="8708" max="8708" width="11.28515625" style="66" customWidth="1"/>
    <col min="8709" max="8709" width="10.7109375" style="66" customWidth="1"/>
    <col min="8710" max="8710" width="12.28515625" style="66" customWidth="1"/>
    <col min="8711" max="8711" width="18.140625" style="66" customWidth="1"/>
    <col min="8712" max="8712" width="10.85546875" style="66" bestFit="1" customWidth="1"/>
    <col min="8713" max="8713" width="14" style="66" bestFit="1" customWidth="1"/>
    <col min="8714" max="8714" width="9.28515625" style="66" bestFit="1" customWidth="1"/>
    <col min="8715" max="8715" width="14" style="66" bestFit="1" customWidth="1"/>
    <col min="8716" max="8959" width="9.140625" style="66"/>
    <col min="8960" max="8960" width="6.28515625" style="66" customWidth="1"/>
    <col min="8961" max="8961" width="9.5703125" style="66" customWidth="1"/>
    <col min="8962" max="8962" width="20.7109375" style="66" customWidth="1"/>
    <col min="8963" max="8963" width="44.7109375" style="66" customWidth="1"/>
    <col min="8964" max="8964" width="11.28515625" style="66" customWidth="1"/>
    <col min="8965" max="8965" width="10.7109375" style="66" customWidth="1"/>
    <col min="8966" max="8966" width="12.28515625" style="66" customWidth="1"/>
    <col min="8967" max="8967" width="18.140625" style="66" customWidth="1"/>
    <col min="8968" max="8968" width="10.85546875" style="66" bestFit="1" customWidth="1"/>
    <col min="8969" max="8969" width="14" style="66" bestFit="1" customWidth="1"/>
    <col min="8970" max="8970" width="9.28515625" style="66" bestFit="1" customWidth="1"/>
    <col min="8971" max="8971" width="14" style="66" bestFit="1" customWidth="1"/>
    <col min="8972" max="9215" width="9.140625" style="66"/>
    <col min="9216" max="9216" width="6.28515625" style="66" customWidth="1"/>
    <col min="9217" max="9217" width="9.5703125" style="66" customWidth="1"/>
    <col min="9218" max="9218" width="20.7109375" style="66" customWidth="1"/>
    <col min="9219" max="9219" width="44.7109375" style="66" customWidth="1"/>
    <col min="9220" max="9220" width="11.28515625" style="66" customWidth="1"/>
    <col min="9221" max="9221" width="10.7109375" style="66" customWidth="1"/>
    <col min="9222" max="9222" width="12.28515625" style="66" customWidth="1"/>
    <col min="9223" max="9223" width="18.140625" style="66" customWidth="1"/>
    <col min="9224" max="9224" width="10.85546875" style="66" bestFit="1" customWidth="1"/>
    <col min="9225" max="9225" width="14" style="66" bestFit="1" customWidth="1"/>
    <col min="9226" max="9226" width="9.28515625" style="66" bestFit="1" customWidth="1"/>
    <col min="9227" max="9227" width="14" style="66" bestFit="1" customWidth="1"/>
    <col min="9228" max="9471" width="9.140625" style="66"/>
    <col min="9472" max="9472" width="6.28515625" style="66" customWidth="1"/>
    <col min="9473" max="9473" width="9.5703125" style="66" customWidth="1"/>
    <col min="9474" max="9474" width="20.7109375" style="66" customWidth="1"/>
    <col min="9475" max="9475" width="44.7109375" style="66" customWidth="1"/>
    <col min="9476" max="9476" width="11.28515625" style="66" customWidth="1"/>
    <col min="9477" max="9477" width="10.7109375" style="66" customWidth="1"/>
    <col min="9478" max="9478" width="12.28515625" style="66" customWidth="1"/>
    <col min="9479" max="9479" width="18.140625" style="66" customWidth="1"/>
    <col min="9480" max="9480" width="10.85546875" style="66" bestFit="1" customWidth="1"/>
    <col min="9481" max="9481" width="14" style="66" bestFit="1" customWidth="1"/>
    <col min="9482" max="9482" width="9.28515625" style="66" bestFit="1" customWidth="1"/>
    <col min="9483" max="9483" width="14" style="66" bestFit="1" customWidth="1"/>
    <col min="9484" max="9727" width="9.140625" style="66"/>
    <col min="9728" max="9728" width="6.28515625" style="66" customWidth="1"/>
    <col min="9729" max="9729" width="9.5703125" style="66" customWidth="1"/>
    <col min="9730" max="9730" width="20.7109375" style="66" customWidth="1"/>
    <col min="9731" max="9731" width="44.7109375" style="66" customWidth="1"/>
    <col min="9732" max="9732" width="11.28515625" style="66" customWidth="1"/>
    <col min="9733" max="9733" width="10.7109375" style="66" customWidth="1"/>
    <col min="9734" max="9734" width="12.28515625" style="66" customWidth="1"/>
    <col min="9735" max="9735" width="18.140625" style="66" customWidth="1"/>
    <col min="9736" max="9736" width="10.85546875" style="66" bestFit="1" customWidth="1"/>
    <col min="9737" max="9737" width="14" style="66" bestFit="1" customWidth="1"/>
    <col min="9738" max="9738" width="9.28515625" style="66" bestFit="1" customWidth="1"/>
    <col min="9739" max="9739" width="14" style="66" bestFit="1" customWidth="1"/>
    <col min="9740" max="9983" width="9.140625" style="66"/>
    <col min="9984" max="9984" width="6.28515625" style="66" customWidth="1"/>
    <col min="9985" max="9985" width="9.5703125" style="66" customWidth="1"/>
    <col min="9986" max="9986" width="20.7109375" style="66" customWidth="1"/>
    <col min="9987" max="9987" width="44.7109375" style="66" customWidth="1"/>
    <col min="9988" max="9988" width="11.28515625" style="66" customWidth="1"/>
    <col min="9989" max="9989" width="10.7109375" style="66" customWidth="1"/>
    <col min="9990" max="9990" width="12.28515625" style="66" customWidth="1"/>
    <col min="9991" max="9991" width="18.140625" style="66" customWidth="1"/>
    <col min="9992" max="9992" width="10.85546875" style="66" bestFit="1" customWidth="1"/>
    <col min="9993" max="9993" width="14" style="66" bestFit="1" customWidth="1"/>
    <col min="9994" max="9994" width="9.28515625" style="66" bestFit="1" customWidth="1"/>
    <col min="9995" max="9995" width="14" style="66" bestFit="1" customWidth="1"/>
    <col min="9996" max="10239" width="9.140625" style="66"/>
    <col min="10240" max="10240" width="6.28515625" style="66" customWidth="1"/>
    <col min="10241" max="10241" width="9.5703125" style="66" customWidth="1"/>
    <col min="10242" max="10242" width="20.7109375" style="66" customWidth="1"/>
    <col min="10243" max="10243" width="44.7109375" style="66" customWidth="1"/>
    <col min="10244" max="10244" width="11.28515625" style="66" customWidth="1"/>
    <col min="10245" max="10245" width="10.7109375" style="66" customWidth="1"/>
    <col min="10246" max="10246" width="12.28515625" style="66" customWidth="1"/>
    <col min="10247" max="10247" width="18.140625" style="66" customWidth="1"/>
    <col min="10248" max="10248" width="10.85546875" style="66" bestFit="1" customWidth="1"/>
    <col min="10249" max="10249" width="14" style="66" bestFit="1" customWidth="1"/>
    <col min="10250" max="10250" width="9.28515625" style="66" bestFit="1" customWidth="1"/>
    <col min="10251" max="10251" width="14" style="66" bestFit="1" customWidth="1"/>
    <col min="10252" max="10495" width="9.140625" style="66"/>
    <col min="10496" max="10496" width="6.28515625" style="66" customWidth="1"/>
    <col min="10497" max="10497" width="9.5703125" style="66" customWidth="1"/>
    <col min="10498" max="10498" width="20.7109375" style="66" customWidth="1"/>
    <col min="10499" max="10499" width="44.7109375" style="66" customWidth="1"/>
    <col min="10500" max="10500" width="11.28515625" style="66" customWidth="1"/>
    <col min="10501" max="10501" width="10.7109375" style="66" customWidth="1"/>
    <col min="10502" max="10502" width="12.28515625" style="66" customWidth="1"/>
    <col min="10503" max="10503" width="18.140625" style="66" customWidth="1"/>
    <col min="10504" max="10504" width="10.85546875" style="66" bestFit="1" customWidth="1"/>
    <col min="10505" max="10505" width="14" style="66" bestFit="1" customWidth="1"/>
    <col min="10506" max="10506" width="9.28515625" style="66" bestFit="1" customWidth="1"/>
    <col min="10507" max="10507" width="14" style="66" bestFit="1" customWidth="1"/>
    <col min="10508" max="10751" width="9.140625" style="66"/>
    <col min="10752" max="10752" width="6.28515625" style="66" customWidth="1"/>
    <col min="10753" max="10753" width="9.5703125" style="66" customWidth="1"/>
    <col min="10754" max="10754" width="20.7109375" style="66" customWidth="1"/>
    <col min="10755" max="10755" width="44.7109375" style="66" customWidth="1"/>
    <col min="10756" max="10756" width="11.28515625" style="66" customWidth="1"/>
    <col min="10757" max="10757" width="10.7109375" style="66" customWidth="1"/>
    <col min="10758" max="10758" width="12.28515625" style="66" customWidth="1"/>
    <col min="10759" max="10759" width="18.140625" style="66" customWidth="1"/>
    <col min="10760" max="10760" width="10.85546875" style="66" bestFit="1" customWidth="1"/>
    <col min="10761" max="10761" width="14" style="66" bestFit="1" customWidth="1"/>
    <col min="10762" max="10762" width="9.28515625" style="66" bestFit="1" customWidth="1"/>
    <col min="10763" max="10763" width="14" style="66" bestFit="1" customWidth="1"/>
    <col min="10764" max="11007" width="9.140625" style="66"/>
    <col min="11008" max="11008" width="6.28515625" style="66" customWidth="1"/>
    <col min="11009" max="11009" width="9.5703125" style="66" customWidth="1"/>
    <col min="11010" max="11010" width="20.7109375" style="66" customWidth="1"/>
    <col min="11011" max="11011" width="44.7109375" style="66" customWidth="1"/>
    <col min="11012" max="11012" width="11.28515625" style="66" customWidth="1"/>
    <col min="11013" max="11013" width="10.7109375" style="66" customWidth="1"/>
    <col min="11014" max="11014" width="12.28515625" style="66" customWidth="1"/>
    <col min="11015" max="11015" width="18.140625" style="66" customWidth="1"/>
    <col min="11016" max="11016" width="10.85546875" style="66" bestFit="1" customWidth="1"/>
    <col min="11017" max="11017" width="14" style="66" bestFit="1" customWidth="1"/>
    <col min="11018" max="11018" width="9.28515625" style="66" bestFit="1" customWidth="1"/>
    <col min="11019" max="11019" width="14" style="66" bestFit="1" customWidth="1"/>
    <col min="11020" max="11263" width="9.140625" style="66"/>
    <col min="11264" max="11264" width="6.28515625" style="66" customWidth="1"/>
    <col min="11265" max="11265" width="9.5703125" style="66" customWidth="1"/>
    <col min="11266" max="11266" width="20.7109375" style="66" customWidth="1"/>
    <col min="11267" max="11267" width="44.7109375" style="66" customWidth="1"/>
    <col min="11268" max="11268" width="11.28515625" style="66" customWidth="1"/>
    <col min="11269" max="11269" width="10.7109375" style="66" customWidth="1"/>
    <col min="11270" max="11270" width="12.28515625" style="66" customWidth="1"/>
    <col min="11271" max="11271" width="18.140625" style="66" customWidth="1"/>
    <col min="11272" max="11272" width="10.85546875" style="66" bestFit="1" customWidth="1"/>
    <col min="11273" max="11273" width="14" style="66" bestFit="1" customWidth="1"/>
    <col min="11274" max="11274" width="9.28515625" style="66" bestFit="1" customWidth="1"/>
    <col min="11275" max="11275" width="14" style="66" bestFit="1" customWidth="1"/>
    <col min="11276" max="11519" width="9.140625" style="66"/>
    <col min="11520" max="11520" width="6.28515625" style="66" customWidth="1"/>
    <col min="11521" max="11521" width="9.5703125" style="66" customWidth="1"/>
    <col min="11522" max="11522" width="20.7109375" style="66" customWidth="1"/>
    <col min="11523" max="11523" width="44.7109375" style="66" customWidth="1"/>
    <col min="11524" max="11524" width="11.28515625" style="66" customWidth="1"/>
    <col min="11525" max="11525" width="10.7109375" style="66" customWidth="1"/>
    <col min="11526" max="11526" width="12.28515625" style="66" customWidth="1"/>
    <col min="11527" max="11527" width="18.140625" style="66" customWidth="1"/>
    <col min="11528" max="11528" width="10.85546875" style="66" bestFit="1" customWidth="1"/>
    <col min="11529" max="11529" width="14" style="66" bestFit="1" customWidth="1"/>
    <col min="11530" max="11530" width="9.28515625" style="66" bestFit="1" customWidth="1"/>
    <col min="11531" max="11531" width="14" style="66" bestFit="1" customWidth="1"/>
    <col min="11532" max="11775" width="9.140625" style="66"/>
    <col min="11776" max="11776" width="6.28515625" style="66" customWidth="1"/>
    <col min="11777" max="11777" width="9.5703125" style="66" customWidth="1"/>
    <col min="11778" max="11778" width="20.7109375" style="66" customWidth="1"/>
    <col min="11779" max="11779" width="44.7109375" style="66" customWidth="1"/>
    <col min="11780" max="11780" width="11.28515625" style="66" customWidth="1"/>
    <col min="11781" max="11781" width="10.7109375" style="66" customWidth="1"/>
    <col min="11782" max="11782" width="12.28515625" style="66" customWidth="1"/>
    <col min="11783" max="11783" width="18.140625" style="66" customWidth="1"/>
    <col min="11784" max="11784" width="10.85546875" style="66" bestFit="1" customWidth="1"/>
    <col min="11785" max="11785" width="14" style="66" bestFit="1" customWidth="1"/>
    <col min="11786" max="11786" width="9.28515625" style="66" bestFit="1" customWidth="1"/>
    <col min="11787" max="11787" width="14" style="66" bestFit="1" customWidth="1"/>
    <col min="11788" max="12031" width="9.140625" style="66"/>
    <col min="12032" max="12032" width="6.28515625" style="66" customWidth="1"/>
    <col min="12033" max="12033" width="9.5703125" style="66" customWidth="1"/>
    <col min="12034" max="12034" width="20.7109375" style="66" customWidth="1"/>
    <col min="12035" max="12035" width="44.7109375" style="66" customWidth="1"/>
    <col min="12036" max="12036" width="11.28515625" style="66" customWidth="1"/>
    <col min="12037" max="12037" width="10.7109375" style="66" customWidth="1"/>
    <col min="12038" max="12038" width="12.28515625" style="66" customWidth="1"/>
    <col min="12039" max="12039" width="18.140625" style="66" customWidth="1"/>
    <col min="12040" max="12040" width="10.85546875" style="66" bestFit="1" customWidth="1"/>
    <col min="12041" max="12041" width="14" style="66" bestFit="1" customWidth="1"/>
    <col min="12042" max="12042" width="9.28515625" style="66" bestFit="1" customWidth="1"/>
    <col min="12043" max="12043" width="14" style="66" bestFit="1" customWidth="1"/>
    <col min="12044" max="12287" width="9.140625" style="66"/>
    <col min="12288" max="12288" width="6.28515625" style="66" customWidth="1"/>
    <col min="12289" max="12289" width="9.5703125" style="66" customWidth="1"/>
    <col min="12290" max="12290" width="20.7109375" style="66" customWidth="1"/>
    <col min="12291" max="12291" width="44.7109375" style="66" customWidth="1"/>
    <col min="12292" max="12292" width="11.28515625" style="66" customWidth="1"/>
    <col min="12293" max="12293" width="10.7109375" style="66" customWidth="1"/>
    <col min="12294" max="12294" width="12.28515625" style="66" customWidth="1"/>
    <col min="12295" max="12295" width="18.140625" style="66" customWidth="1"/>
    <col min="12296" max="12296" width="10.85546875" style="66" bestFit="1" customWidth="1"/>
    <col min="12297" max="12297" width="14" style="66" bestFit="1" customWidth="1"/>
    <col min="12298" max="12298" width="9.28515625" style="66" bestFit="1" customWidth="1"/>
    <col min="12299" max="12299" width="14" style="66" bestFit="1" customWidth="1"/>
    <col min="12300" max="12543" width="9.140625" style="66"/>
    <col min="12544" max="12544" width="6.28515625" style="66" customWidth="1"/>
    <col min="12545" max="12545" width="9.5703125" style="66" customWidth="1"/>
    <col min="12546" max="12546" width="20.7109375" style="66" customWidth="1"/>
    <col min="12547" max="12547" width="44.7109375" style="66" customWidth="1"/>
    <col min="12548" max="12548" width="11.28515625" style="66" customWidth="1"/>
    <col min="12549" max="12549" width="10.7109375" style="66" customWidth="1"/>
    <col min="12550" max="12550" width="12.28515625" style="66" customWidth="1"/>
    <col min="12551" max="12551" width="18.140625" style="66" customWidth="1"/>
    <col min="12552" max="12552" width="10.85546875" style="66" bestFit="1" customWidth="1"/>
    <col min="12553" max="12553" width="14" style="66" bestFit="1" customWidth="1"/>
    <col min="12554" max="12554" width="9.28515625" style="66" bestFit="1" customWidth="1"/>
    <col min="12555" max="12555" width="14" style="66" bestFit="1" customWidth="1"/>
    <col min="12556" max="12799" width="9.140625" style="66"/>
    <col min="12800" max="12800" width="6.28515625" style="66" customWidth="1"/>
    <col min="12801" max="12801" width="9.5703125" style="66" customWidth="1"/>
    <col min="12802" max="12802" width="20.7109375" style="66" customWidth="1"/>
    <col min="12803" max="12803" width="44.7109375" style="66" customWidth="1"/>
    <col min="12804" max="12804" width="11.28515625" style="66" customWidth="1"/>
    <col min="12805" max="12805" width="10.7109375" style="66" customWidth="1"/>
    <col min="12806" max="12806" width="12.28515625" style="66" customWidth="1"/>
    <col min="12807" max="12807" width="18.140625" style="66" customWidth="1"/>
    <col min="12808" max="12808" width="10.85546875" style="66" bestFit="1" customWidth="1"/>
    <col min="12809" max="12809" width="14" style="66" bestFit="1" customWidth="1"/>
    <col min="12810" max="12810" width="9.28515625" style="66" bestFit="1" customWidth="1"/>
    <col min="12811" max="12811" width="14" style="66" bestFit="1" customWidth="1"/>
    <col min="12812" max="13055" width="9.140625" style="66"/>
    <col min="13056" max="13056" width="6.28515625" style="66" customWidth="1"/>
    <col min="13057" max="13057" width="9.5703125" style="66" customWidth="1"/>
    <col min="13058" max="13058" width="20.7109375" style="66" customWidth="1"/>
    <col min="13059" max="13059" width="44.7109375" style="66" customWidth="1"/>
    <col min="13060" max="13060" width="11.28515625" style="66" customWidth="1"/>
    <col min="13061" max="13061" width="10.7109375" style="66" customWidth="1"/>
    <col min="13062" max="13062" width="12.28515625" style="66" customWidth="1"/>
    <col min="13063" max="13063" width="18.140625" style="66" customWidth="1"/>
    <col min="13064" max="13064" width="10.85546875" style="66" bestFit="1" customWidth="1"/>
    <col min="13065" max="13065" width="14" style="66" bestFit="1" customWidth="1"/>
    <col min="13066" max="13066" width="9.28515625" style="66" bestFit="1" customWidth="1"/>
    <col min="13067" max="13067" width="14" style="66" bestFit="1" customWidth="1"/>
    <col min="13068" max="13311" width="9.140625" style="66"/>
    <col min="13312" max="13312" width="6.28515625" style="66" customWidth="1"/>
    <col min="13313" max="13313" width="9.5703125" style="66" customWidth="1"/>
    <col min="13314" max="13314" width="20.7109375" style="66" customWidth="1"/>
    <col min="13315" max="13315" width="44.7109375" style="66" customWidth="1"/>
    <col min="13316" max="13316" width="11.28515625" style="66" customWidth="1"/>
    <col min="13317" max="13317" width="10.7109375" style="66" customWidth="1"/>
    <col min="13318" max="13318" width="12.28515625" style="66" customWidth="1"/>
    <col min="13319" max="13319" width="18.140625" style="66" customWidth="1"/>
    <col min="13320" max="13320" width="10.85546875" style="66" bestFit="1" customWidth="1"/>
    <col min="13321" max="13321" width="14" style="66" bestFit="1" customWidth="1"/>
    <col min="13322" max="13322" width="9.28515625" style="66" bestFit="1" customWidth="1"/>
    <col min="13323" max="13323" width="14" style="66" bestFit="1" customWidth="1"/>
    <col min="13324" max="13567" width="9.140625" style="66"/>
    <col min="13568" max="13568" width="6.28515625" style="66" customWidth="1"/>
    <col min="13569" max="13569" width="9.5703125" style="66" customWidth="1"/>
    <col min="13570" max="13570" width="20.7109375" style="66" customWidth="1"/>
    <col min="13571" max="13571" width="44.7109375" style="66" customWidth="1"/>
    <col min="13572" max="13572" width="11.28515625" style="66" customWidth="1"/>
    <col min="13573" max="13573" width="10.7109375" style="66" customWidth="1"/>
    <col min="13574" max="13574" width="12.28515625" style="66" customWidth="1"/>
    <col min="13575" max="13575" width="18.140625" style="66" customWidth="1"/>
    <col min="13576" max="13576" width="10.85546875" style="66" bestFit="1" customWidth="1"/>
    <col min="13577" max="13577" width="14" style="66" bestFit="1" customWidth="1"/>
    <col min="13578" max="13578" width="9.28515625" style="66" bestFit="1" customWidth="1"/>
    <col min="13579" max="13579" width="14" style="66" bestFit="1" customWidth="1"/>
    <col min="13580" max="13823" width="9.140625" style="66"/>
    <col min="13824" max="13824" width="6.28515625" style="66" customWidth="1"/>
    <col min="13825" max="13825" width="9.5703125" style="66" customWidth="1"/>
    <col min="13826" max="13826" width="20.7109375" style="66" customWidth="1"/>
    <col min="13827" max="13827" width="44.7109375" style="66" customWidth="1"/>
    <col min="13828" max="13828" width="11.28515625" style="66" customWidth="1"/>
    <col min="13829" max="13829" width="10.7109375" style="66" customWidth="1"/>
    <col min="13830" max="13830" width="12.28515625" style="66" customWidth="1"/>
    <col min="13831" max="13831" width="18.140625" style="66" customWidth="1"/>
    <col min="13832" max="13832" width="10.85546875" style="66" bestFit="1" customWidth="1"/>
    <col min="13833" max="13833" width="14" style="66" bestFit="1" customWidth="1"/>
    <col min="13834" max="13834" width="9.28515625" style="66" bestFit="1" customWidth="1"/>
    <col min="13835" max="13835" width="14" style="66" bestFit="1" customWidth="1"/>
    <col min="13836" max="14079" width="9.140625" style="66"/>
    <col min="14080" max="14080" width="6.28515625" style="66" customWidth="1"/>
    <col min="14081" max="14081" width="9.5703125" style="66" customWidth="1"/>
    <col min="14082" max="14082" width="20.7109375" style="66" customWidth="1"/>
    <col min="14083" max="14083" width="44.7109375" style="66" customWidth="1"/>
    <col min="14084" max="14084" width="11.28515625" style="66" customWidth="1"/>
    <col min="14085" max="14085" width="10.7109375" style="66" customWidth="1"/>
    <col min="14086" max="14086" width="12.28515625" style="66" customWidth="1"/>
    <col min="14087" max="14087" width="18.140625" style="66" customWidth="1"/>
    <col min="14088" max="14088" width="10.85546875" style="66" bestFit="1" customWidth="1"/>
    <col min="14089" max="14089" width="14" style="66" bestFit="1" customWidth="1"/>
    <col min="14090" max="14090" width="9.28515625" style="66" bestFit="1" customWidth="1"/>
    <col min="14091" max="14091" width="14" style="66" bestFit="1" customWidth="1"/>
    <col min="14092" max="14335" width="9.140625" style="66"/>
    <col min="14336" max="14336" width="6.28515625" style="66" customWidth="1"/>
    <col min="14337" max="14337" width="9.5703125" style="66" customWidth="1"/>
    <col min="14338" max="14338" width="20.7109375" style="66" customWidth="1"/>
    <col min="14339" max="14339" width="44.7109375" style="66" customWidth="1"/>
    <col min="14340" max="14340" width="11.28515625" style="66" customWidth="1"/>
    <col min="14341" max="14341" width="10.7109375" style="66" customWidth="1"/>
    <col min="14342" max="14342" width="12.28515625" style="66" customWidth="1"/>
    <col min="14343" max="14343" width="18.140625" style="66" customWidth="1"/>
    <col min="14344" max="14344" width="10.85546875" style="66" bestFit="1" customWidth="1"/>
    <col min="14345" max="14345" width="14" style="66" bestFit="1" customWidth="1"/>
    <col min="14346" max="14346" width="9.28515625" style="66" bestFit="1" customWidth="1"/>
    <col min="14347" max="14347" width="14" style="66" bestFit="1" customWidth="1"/>
    <col min="14348" max="14591" width="9.140625" style="66"/>
    <col min="14592" max="14592" width="6.28515625" style="66" customWidth="1"/>
    <col min="14593" max="14593" width="9.5703125" style="66" customWidth="1"/>
    <col min="14594" max="14594" width="20.7109375" style="66" customWidth="1"/>
    <col min="14595" max="14595" width="44.7109375" style="66" customWidth="1"/>
    <col min="14596" max="14596" width="11.28515625" style="66" customWidth="1"/>
    <col min="14597" max="14597" width="10.7109375" style="66" customWidth="1"/>
    <col min="14598" max="14598" width="12.28515625" style="66" customWidth="1"/>
    <col min="14599" max="14599" width="18.140625" style="66" customWidth="1"/>
    <col min="14600" max="14600" width="10.85546875" style="66" bestFit="1" customWidth="1"/>
    <col min="14601" max="14601" width="14" style="66" bestFit="1" customWidth="1"/>
    <col min="14602" max="14602" width="9.28515625" style="66" bestFit="1" customWidth="1"/>
    <col min="14603" max="14603" width="14" style="66" bestFit="1" customWidth="1"/>
    <col min="14604" max="14847" width="9.140625" style="66"/>
    <col min="14848" max="14848" width="6.28515625" style="66" customWidth="1"/>
    <col min="14849" max="14849" width="9.5703125" style="66" customWidth="1"/>
    <col min="14850" max="14850" width="20.7109375" style="66" customWidth="1"/>
    <col min="14851" max="14851" width="44.7109375" style="66" customWidth="1"/>
    <col min="14852" max="14852" width="11.28515625" style="66" customWidth="1"/>
    <col min="14853" max="14853" width="10.7109375" style="66" customWidth="1"/>
    <col min="14854" max="14854" width="12.28515625" style="66" customWidth="1"/>
    <col min="14855" max="14855" width="18.140625" style="66" customWidth="1"/>
    <col min="14856" max="14856" width="10.85546875" style="66" bestFit="1" customWidth="1"/>
    <col min="14857" max="14857" width="14" style="66" bestFit="1" customWidth="1"/>
    <col min="14858" max="14858" width="9.28515625" style="66" bestFit="1" customWidth="1"/>
    <col min="14859" max="14859" width="14" style="66" bestFit="1" customWidth="1"/>
    <col min="14860" max="15103" width="9.140625" style="66"/>
    <col min="15104" max="15104" width="6.28515625" style="66" customWidth="1"/>
    <col min="15105" max="15105" width="9.5703125" style="66" customWidth="1"/>
    <col min="15106" max="15106" width="20.7109375" style="66" customWidth="1"/>
    <col min="15107" max="15107" width="44.7109375" style="66" customWidth="1"/>
    <col min="15108" max="15108" width="11.28515625" style="66" customWidth="1"/>
    <col min="15109" max="15109" width="10.7109375" style="66" customWidth="1"/>
    <col min="15110" max="15110" width="12.28515625" style="66" customWidth="1"/>
    <col min="15111" max="15111" width="18.140625" style="66" customWidth="1"/>
    <col min="15112" max="15112" width="10.85546875" style="66" bestFit="1" customWidth="1"/>
    <col min="15113" max="15113" width="14" style="66" bestFit="1" customWidth="1"/>
    <col min="15114" max="15114" width="9.28515625" style="66" bestFit="1" customWidth="1"/>
    <col min="15115" max="15115" width="14" style="66" bestFit="1" customWidth="1"/>
    <col min="15116" max="15359" width="9.140625" style="66"/>
    <col min="15360" max="15360" width="6.28515625" style="66" customWidth="1"/>
    <col min="15361" max="15361" width="9.5703125" style="66" customWidth="1"/>
    <col min="15362" max="15362" width="20.7109375" style="66" customWidth="1"/>
    <col min="15363" max="15363" width="44.7109375" style="66" customWidth="1"/>
    <col min="15364" max="15364" width="11.28515625" style="66" customWidth="1"/>
    <col min="15365" max="15365" width="10.7109375" style="66" customWidth="1"/>
    <col min="15366" max="15366" width="12.28515625" style="66" customWidth="1"/>
    <col min="15367" max="15367" width="18.140625" style="66" customWidth="1"/>
    <col min="15368" max="15368" width="10.85546875" style="66" bestFit="1" customWidth="1"/>
    <col min="15369" max="15369" width="14" style="66" bestFit="1" customWidth="1"/>
    <col min="15370" max="15370" width="9.28515625" style="66" bestFit="1" customWidth="1"/>
    <col min="15371" max="15371" width="14" style="66" bestFit="1" customWidth="1"/>
    <col min="15372" max="15615" width="9.140625" style="66"/>
    <col min="15616" max="15616" width="6.28515625" style="66" customWidth="1"/>
    <col min="15617" max="15617" width="9.5703125" style="66" customWidth="1"/>
    <col min="15618" max="15618" width="20.7109375" style="66" customWidth="1"/>
    <col min="15619" max="15619" width="44.7109375" style="66" customWidth="1"/>
    <col min="15620" max="15620" width="11.28515625" style="66" customWidth="1"/>
    <col min="15621" max="15621" width="10.7109375" style="66" customWidth="1"/>
    <col min="15622" max="15622" width="12.28515625" style="66" customWidth="1"/>
    <col min="15623" max="15623" width="18.140625" style="66" customWidth="1"/>
    <col min="15624" max="15624" width="10.85546875" style="66" bestFit="1" customWidth="1"/>
    <col min="15625" max="15625" width="14" style="66" bestFit="1" customWidth="1"/>
    <col min="15626" max="15626" width="9.28515625" style="66" bestFit="1" customWidth="1"/>
    <col min="15627" max="15627" width="14" style="66" bestFit="1" customWidth="1"/>
    <col min="15628" max="15871" width="9.140625" style="66"/>
    <col min="15872" max="15872" width="6.28515625" style="66" customWidth="1"/>
    <col min="15873" max="15873" width="9.5703125" style="66" customWidth="1"/>
    <col min="15874" max="15874" width="20.7109375" style="66" customWidth="1"/>
    <col min="15875" max="15875" width="44.7109375" style="66" customWidth="1"/>
    <col min="15876" max="15876" width="11.28515625" style="66" customWidth="1"/>
    <col min="15877" max="15877" width="10.7109375" style="66" customWidth="1"/>
    <col min="15878" max="15878" width="12.28515625" style="66" customWidth="1"/>
    <col min="15879" max="15879" width="18.140625" style="66" customWidth="1"/>
    <col min="15880" max="15880" width="10.85546875" style="66" bestFit="1" customWidth="1"/>
    <col min="15881" max="15881" width="14" style="66" bestFit="1" customWidth="1"/>
    <col min="15882" max="15882" width="9.28515625" style="66" bestFit="1" customWidth="1"/>
    <col min="15883" max="15883" width="14" style="66" bestFit="1" customWidth="1"/>
    <col min="15884" max="16127" width="9.140625" style="66"/>
    <col min="16128" max="16128" width="6.28515625" style="66" customWidth="1"/>
    <col min="16129" max="16129" width="9.5703125" style="66" customWidth="1"/>
    <col min="16130" max="16130" width="20.7109375" style="66" customWidth="1"/>
    <col min="16131" max="16131" width="44.7109375" style="66" customWidth="1"/>
    <col min="16132" max="16132" width="11.28515625" style="66" customWidth="1"/>
    <col min="16133" max="16133" width="10.7109375" style="66" customWidth="1"/>
    <col min="16134" max="16134" width="12.28515625" style="66" customWidth="1"/>
    <col min="16135" max="16135" width="18.140625" style="66" customWidth="1"/>
    <col min="16136" max="16136" width="10.85546875" style="66" bestFit="1" customWidth="1"/>
    <col min="16137" max="16137" width="14" style="66" bestFit="1" customWidth="1"/>
    <col min="16138" max="16138" width="9.28515625" style="66" bestFit="1" customWidth="1"/>
    <col min="16139" max="16139" width="14" style="66" bestFit="1" customWidth="1"/>
    <col min="16140" max="16384" width="9.140625" style="66"/>
  </cols>
  <sheetData>
    <row r="1" spans="1:12" ht="34.5" customHeight="1">
      <c r="A1" s="307" t="s">
        <v>101</v>
      </c>
      <c r="B1" s="307"/>
      <c r="C1" s="307"/>
      <c r="D1" s="307"/>
      <c r="E1" s="307"/>
      <c r="F1" s="307"/>
      <c r="G1" s="307"/>
    </row>
    <row r="2" spans="1:12" ht="18" customHeight="1">
      <c r="A2" s="67" t="s">
        <v>102</v>
      </c>
      <c r="B2" s="67" t="s">
        <v>103</v>
      </c>
      <c r="C2" s="67" t="s">
        <v>104</v>
      </c>
      <c r="D2" s="67" t="s">
        <v>105</v>
      </c>
      <c r="E2" s="67" t="s">
        <v>106</v>
      </c>
      <c r="F2" s="67" t="s">
        <v>107</v>
      </c>
      <c r="G2" s="67" t="s">
        <v>108</v>
      </c>
    </row>
    <row r="3" spans="1:12" ht="30">
      <c r="A3" s="80">
        <v>1</v>
      </c>
      <c r="B3" s="81" t="s">
        <v>109</v>
      </c>
      <c r="C3" s="140" t="s">
        <v>110</v>
      </c>
      <c r="D3" s="141">
        <v>717.1</v>
      </c>
      <c r="E3" s="72">
        <v>7</v>
      </c>
      <c r="F3" s="141">
        <f>SUM(D3*E3)</f>
        <v>5019.7</v>
      </c>
      <c r="G3" s="82">
        <f>SUM('RUA 8-9-10 E SEBASTIÃO A'!I45)</f>
        <v>432106.08228487329</v>
      </c>
      <c r="I3" s="68"/>
      <c r="J3" s="69"/>
      <c r="L3" s="70"/>
    </row>
    <row r="4" spans="1:12" ht="15.75" customHeight="1">
      <c r="A4" s="83" t="s">
        <v>111</v>
      </c>
      <c r="B4" s="83"/>
      <c r="C4" s="83"/>
      <c r="D4" s="84">
        <f>SUM(D3:D3)</f>
        <v>717.1</v>
      </c>
      <c r="E4" s="84"/>
      <c r="F4" s="84">
        <f>SUM(F3:F3)</f>
        <v>5019.7</v>
      </c>
      <c r="G4" s="84">
        <f>SUM(G3:G3)</f>
        <v>432106.08228487329</v>
      </c>
      <c r="H4" s="71"/>
      <c r="I4" s="68"/>
      <c r="K4" s="73"/>
      <c r="L4" s="70"/>
    </row>
    <row r="5" spans="1:12" ht="15.75">
      <c r="A5" s="90" t="s">
        <v>114</v>
      </c>
      <c r="B5" s="85"/>
      <c r="C5" s="85"/>
      <c r="D5" s="85"/>
      <c r="E5" s="85"/>
      <c r="F5" s="85"/>
      <c r="G5" s="86"/>
      <c r="H5" s="74"/>
      <c r="I5" s="138"/>
      <c r="J5" s="75"/>
    </row>
    <row r="6" spans="1:12" ht="15.75">
      <c r="A6" s="142"/>
      <c r="B6" s="85"/>
      <c r="C6" s="85"/>
      <c r="D6" s="142"/>
      <c r="E6" s="142"/>
      <c r="F6" s="142"/>
      <c r="G6" s="143"/>
      <c r="H6" s="77"/>
      <c r="J6" s="75"/>
    </row>
    <row r="7" spans="1:12" ht="15.75">
      <c r="A7" s="85"/>
      <c r="B7" s="85"/>
      <c r="C7" s="85"/>
      <c r="D7" s="144"/>
      <c r="E7" s="144"/>
      <c r="F7" s="144"/>
      <c r="G7" s="144"/>
      <c r="H7" s="77"/>
      <c r="J7" s="75"/>
    </row>
    <row r="8" spans="1:12" ht="15.75">
      <c r="A8" s="85"/>
      <c r="B8" s="85"/>
      <c r="C8" s="85"/>
      <c r="D8" s="144"/>
      <c r="E8" s="144"/>
      <c r="F8" s="144"/>
      <c r="G8" s="144"/>
      <c r="H8" s="77"/>
      <c r="J8" s="75"/>
    </row>
    <row r="9" spans="1:12" ht="15.75">
      <c r="A9" s="85"/>
      <c r="B9" s="85"/>
      <c r="C9" s="85"/>
      <c r="D9" s="308" t="s">
        <v>115</v>
      </c>
      <c r="E9" s="308"/>
      <c r="F9" s="308"/>
      <c r="G9" s="308"/>
      <c r="H9" s="77"/>
      <c r="I9" s="70"/>
      <c r="J9" s="75"/>
    </row>
    <row r="10" spans="1:12" ht="15.75">
      <c r="A10" s="85"/>
      <c r="B10" s="85"/>
      <c r="C10" s="85"/>
      <c r="D10" s="144"/>
      <c r="E10" s="144"/>
      <c r="F10" s="144"/>
      <c r="G10" s="144"/>
      <c r="H10" s="77"/>
      <c r="I10" s="77"/>
      <c r="J10" s="75"/>
    </row>
    <row r="11" spans="1:12" ht="15.75">
      <c r="A11" s="85"/>
      <c r="B11" s="85"/>
      <c r="C11" s="85"/>
      <c r="D11" s="144"/>
      <c r="E11" s="144"/>
      <c r="F11" s="144"/>
      <c r="G11" s="144"/>
      <c r="H11" s="77"/>
      <c r="I11" s="77"/>
      <c r="J11" s="75"/>
    </row>
    <row r="12" spans="1:12" ht="15.75">
      <c r="A12" s="85"/>
      <c r="B12" s="85"/>
      <c r="C12" s="85"/>
      <c r="D12" s="144"/>
      <c r="E12" s="144"/>
      <c r="F12" s="144"/>
      <c r="G12" s="144"/>
      <c r="H12" s="77"/>
      <c r="I12" s="77"/>
      <c r="J12" s="75"/>
    </row>
    <row r="13" spans="1:12" ht="15.75">
      <c r="A13" s="85"/>
      <c r="B13" s="85"/>
      <c r="C13" s="85"/>
      <c r="D13" s="144"/>
      <c r="E13" s="144"/>
      <c r="F13" s="144"/>
      <c r="G13" s="144"/>
      <c r="H13" s="77"/>
      <c r="I13" s="77"/>
      <c r="J13" s="75"/>
    </row>
    <row r="14" spans="1:12" ht="15.75">
      <c r="A14" s="85"/>
      <c r="B14" s="85"/>
      <c r="C14" s="85"/>
      <c r="D14" s="144"/>
      <c r="E14" s="144"/>
      <c r="F14" s="144"/>
      <c r="G14" s="144"/>
      <c r="H14" s="77"/>
      <c r="I14" s="77"/>
      <c r="J14" s="75"/>
    </row>
    <row r="15" spans="1:12" ht="15.75">
      <c r="A15" s="85"/>
      <c r="B15" s="85"/>
      <c r="C15" s="85"/>
      <c r="D15" s="144"/>
      <c r="E15" s="144"/>
      <c r="F15" s="144"/>
      <c r="G15" s="144"/>
      <c r="H15" s="77"/>
      <c r="I15" s="77"/>
      <c r="J15" s="75"/>
    </row>
    <row r="16" spans="1:12" ht="15.75">
      <c r="A16" s="85"/>
      <c r="B16" s="85"/>
      <c r="C16" s="85"/>
      <c r="D16" s="144"/>
      <c r="E16" s="144"/>
      <c r="F16" s="144"/>
      <c r="G16" s="144"/>
      <c r="H16" s="77"/>
      <c r="I16" s="77"/>
      <c r="J16" s="75"/>
    </row>
    <row r="17" spans="1:10" ht="15.75">
      <c r="A17" s="85"/>
      <c r="B17" s="85"/>
      <c r="C17" s="85"/>
      <c r="D17" s="144"/>
      <c r="E17" s="144"/>
      <c r="F17" s="144"/>
      <c r="G17" s="144"/>
      <c r="H17" s="77"/>
      <c r="I17" s="77"/>
      <c r="J17" s="75"/>
    </row>
    <row r="18" spans="1:10" ht="15.75">
      <c r="A18" s="309" t="s">
        <v>112</v>
      </c>
      <c r="B18" s="309"/>
      <c r="C18" s="309"/>
      <c r="D18" s="144"/>
      <c r="E18" s="144"/>
      <c r="F18" s="144"/>
      <c r="G18" s="144"/>
      <c r="H18" s="77"/>
      <c r="I18" s="77"/>
      <c r="J18" s="75"/>
    </row>
    <row r="19" spans="1:10" ht="15.75">
      <c r="A19" s="310" t="s">
        <v>113</v>
      </c>
      <c r="B19" s="310"/>
      <c r="C19" s="310"/>
      <c r="D19" s="144"/>
      <c r="E19" s="144"/>
      <c r="F19" s="144"/>
      <c r="G19" s="144"/>
      <c r="H19" s="77"/>
      <c r="I19" s="77">
        <f>SUM(I5-G4)</f>
        <v>-432106.08228487329</v>
      </c>
      <c r="J19" s="75"/>
    </row>
    <row r="20" spans="1:10" ht="15.75">
      <c r="A20" s="85"/>
      <c r="B20" s="85"/>
      <c r="C20" s="85"/>
      <c r="D20" s="144"/>
      <c r="E20" s="144"/>
      <c r="F20" s="144"/>
      <c r="G20" s="144"/>
      <c r="H20" s="77"/>
      <c r="I20" s="77"/>
      <c r="J20" s="75"/>
    </row>
    <row r="21" spans="1:10" ht="15.75">
      <c r="A21" s="85"/>
      <c r="B21" s="85"/>
      <c r="C21" s="85"/>
      <c r="D21" s="144"/>
      <c r="E21" s="144"/>
      <c r="F21" s="144"/>
      <c r="G21" s="144"/>
      <c r="H21" s="77"/>
      <c r="I21" s="77"/>
      <c r="J21" s="75"/>
    </row>
    <row r="22" spans="1:10" ht="15.75">
      <c r="A22" s="85"/>
      <c r="B22" s="85"/>
      <c r="C22" s="85"/>
      <c r="D22" s="144"/>
      <c r="E22" s="144"/>
      <c r="F22" s="144"/>
      <c r="G22" s="144"/>
      <c r="H22" s="77"/>
      <c r="I22" s="77"/>
      <c r="J22" s="75"/>
    </row>
    <row r="23" spans="1:10" ht="15.75">
      <c r="A23" s="85"/>
      <c r="B23" s="85"/>
      <c r="C23" s="85"/>
      <c r="D23" s="144"/>
      <c r="E23" s="144"/>
      <c r="F23" s="144"/>
      <c r="G23" s="144"/>
      <c r="H23" s="77"/>
      <c r="I23" s="77"/>
      <c r="J23" s="75"/>
    </row>
    <row r="24" spans="1:10" ht="15.75">
      <c r="A24" s="85"/>
      <c r="B24" s="85"/>
      <c r="C24" s="85"/>
      <c r="D24" s="144"/>
      <c r="E24" s="144"/>
      <c r="F24" s="144"/>
      <c r="G24" s="144"/>
      <c r="H24" s="77"/>
      <c r="I24" s="77"/>
      <c r="J24" s="75"/>
    </row>
    <row r="25" spans="1:10" ht="15.75">
      <c r="A25" s="85"/>
      <c r="B25" s="85"/>
      <c r="C25" s="85"/>
      <c r="D25" s="144"/>
      <c r="E25" s="144"/>
      <c r="F25" s="144"/>
      <c r="G25" s="144"/>
      <c r="H25" s="77"/>
      <c r="I25" s="77"/>
      <c r="J25" s="75"/>
    </row>
    <row r="26" spans="1:10" ht="15.75">
      <c r="A26" s="85"/>
      <c r="B26" s="85"/>
      <c r="C26" s="85"/>
      <c r="D26" s="144"/>
      <c r="E26" s="144"/>
      <c r="F26" s="144"/>
      <c r="G26" s="144"/>
      <c r="H26" s="77"/>
      <c r="I26" s="77"/>
      <c r="J26" s="75"/>
    </row>
    <row r="27" spans="1:10" ht="15.75">
      <c r="A27" s="85"/>
      <c r="B27" s="85"/>
      <c r="C27" s="85"/>
      <c r="D27" s="144"/>
      <c r="E27" s="144"/>
      <c r="F27" s="144"/>
      <c r="G27" s="144"/>
      <c r="H27" s="77"/>
      <c r="I27" s="77"/>
      <c r="J27" s="75"/>
    </row>
    <row r="28" spans="1:10" ht="15.75">
      <c r="A28" s="85"/>
      <c r="B28" s="85"/>
      <c r="C28" s="85"/>
      <c r="D28" s="144"/>
      <c r="E28" s="144"/>
      <c r="F28" s="144"/>
      <c r="G28" s="144"/>
      <c r="H28" s="77"/>
      <c r="I28" s="77"/>
      <c r="J28" s="75"/>
    </row>
    <row r="29" spans="1:10" ht="15.75">
      <c r="A29" s="85"/>
      <c r="B29" s="85"/>
      <c r="C29" s="85"/>
      <c r="D29" s="144"/>
      <c r="E29" s="144"/>
      <c r="F29" s="144"/>
      <c r="G29" s="144"/>
      <c r="H29" s="77"/>
      <c r="I29" s="77"/>
      <c r="J29" s="75"/>
    </row>
    <row r="30" spans="1:10" ht="15.75">
      <c r="A30" s="85"/>
      <c r="B30" s="85"/>
      <c r="C30" s="85"/>
      <c r="D30" s="144"/>
      <c r="E30" s="144"/>
      <c r="F30" s="144"/>
      <c r="G30" s="144"/>
      <c r="H30" s="77"/>
      <c r="I30" s="77"/>
      <c r="J30" s="75"/>
    </row>
    <row r="31" spans="1:10" ht="15.75">
      <c r="A31" s="85"/>
      <c r="B31" s="85"/>
      <c r="C31" s="85"/>
      <c r="D31" s="144"/>
      <c r="E31" s="144"/>
      <c r="F31" s="144"/>
      <c r="G31" s="144"/>
      <c r="H31" s="77"/>
      <c r="I31" s="77"/>
      <c r="J31" s="75"/>
    </row>
    <row r="32" spans="1:10" ht="15.75">
      <c r="A32" s="85"/>
      <c r="B32" s="85"/>
      <c r="C32" s="85"/>
      <c r="D32" s="144"/>
      <c r="E32" s="144"/>
      <c r="F32" s="144"/>
      <c r="G32" s="144"/>
      <c r="H32" s="77"/>
      <c r="I32" s="77"/>
      <c r="J32" s="139"/>
    </row>
    <row r="33" spans="1:10" ht="15.75">
      <c r="A33" s="145" t="s">
        <v>95</v>
      </c>
      <c r="B33" s="145"/>
      <c r="C33" s="145"/>
      <c r="D33" s="142"/>
      <c r="E33" s="142"/>
      <c r="F33" s="142"/>
      <c r="G33" s="143"/>
      <c r="H33" s="77"/>
      <c r="I33" s="77"/>
      <c r="J33" s="75"/>
    </row>
    <row r="34" spans="1:10" ht="15.75">
      <c r="A34" s="310" t="s">
        <v>96</v>
      </c>
      <c r="B34" s="310"/>
      <c r="C34" s="310"/>
      <c r="D34" s="142"/>
      <c r="E34" s="142"/>
      <c r="F34" s="142"/>
      <c r="G34" s="143"/>
      <c r="H34" s="77"/>
      <c r="I34" s="77"/>
      <c r="J34" s="75"/>
    </row>
    <row r="35" spans="1:10" ht="15.75">
      <c r="A35" s="76"/>
      <c r="B35" s="76"/>
      <c r="C35" s="76"/>
      <c r="D35" s="78"/>
      <c r="E35" s="78"/>
      <c r="F35" s="78"/>
      <c r="G35" s="78"/>
      <c r="H35" s="77"/>
      <c r="I35" s="77"/>
      <c r="J35" s="75"/>
    </row>
    <row r="36" spans="1:10" ht="15.75">
      <c r="A36" s="76"/>
      <c r="B36" s="76"/>
      <c r="C36" s="76"/>
      <c r="D36" s="78"/>
      <c r="E36" s="78"/>
      <c r="F36" s="78"/>
      <c r="G36" s="78"/>
      <c r="H36" s="77"/>
      <c r="I36" s="77"/>
      <c r="J36" s="75"/>
    </row>
  </sheetData>
  <mergeCells count="5">
    <mergeCell ref="A1:G1"/>
    <mergeCell ref="D9:G9"/>
    <mergeCell ref="A18:C18"/>
    <mergeCell ref="A34:C34"/>
    <mergeCell ref="A19:C19"/>
  </mergeCells>
  <pageMargins left="0.51181102362204722" right="0.51181102362204722" top="1.1023622047244095" bottom="0.78740157480314965" header="0.31496062992125984" footer="0.31496062992125984"/>
  <pageSetup paperSize="9" scale="72" orientation="portrait" r:id="rId1"/>
  <headerFooter>
    <oddHeader>&amp;C&amp;G</oddHeader>
    <oddFooter>&amp;R&amp;P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B1:Q56"/>
  <sheetViews>
    <sheetView topLeftCell="B1" zoomScale="80" zoomScaleNormal="80" zoomScaleSheetLayoutView="100" workbookViewId="0">
      <selection activeCell="E70" sqref="E70"/>
    </sheetView>
  </sheetViews>
  <sheetFormatPr defaultRowHeight="15"/>
  <cols>
    <col min="1" max="1" width="1.710937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9.85546875" customWidth="1"/>
    <col min="7" max="7" width="13" customWidth="1"/>
    <col min="8" max="8" width="11" customWidth="1"/>
    <col min="9" max="9" width="15.7109375" customWidth="1"/>
    <col min="10" max="10" width="13.85546875" customWidth="1"/>
    <col min="11" max="11" width="13" customWidth="1"/>
    <col min="12" max="13" width="13.28515625" hidden="1" customWidth="1"/>
    <col min="14" max="14" width="10.140625" hidden="1" customWidth="1"/>
    <col min="15" max="15" width="3.7109375" customWidth="1"/>
    <col min="16" max="16" width="12.42578125" customWidth="1"/>
    <col min="17" max="17" width="14.140625" customWidth="1"/>
    <col min="18" max="18" width="10.7109375" customWidth="1"/>
  </cols>
  <sheetData>
    <row r="1" spans="2:17" ht="20.25" customHeight="1">
      <c r="B1" s="338" t="s">
        <v>0</v>
      </c>
      <c r="C1" s="338"/>
      <c r="D1" s="338"/>
      <c r="E1" s="338"/>
      <c r="F1" s="338"/>
      <c r="G1" s="338"/>
      <c r="H1" s="338"/>
      <c r="I1" s="338"/>
      <c r="J1" s="338"/>
      <c r="K1" s="338"/>
    </row>
    <row r="2" spans="2:17" ht="20.25" customHeight="1" thickBot="1">
      <c r="B2" s="261"/>
      <c r="C2" s="261"/>
      <c r="D2" s="261"/>
      <c r="E2" s="261"/>
      <c r="F2" s="261"/>
      <c r="G2" s="261"/>
      <c r="H2" s="261"/>
      <c r="I2" s="261"/>
      <c r="J2" s="261"/>
      <c r="K2" s="261"/>
    </row>
    <row r="3" spans="2:17" ht="18.75" customHeight="1" thickBot="1">
      <c r="B3" s="55" t="s">
        <v>1</v>
      </c>
      <c r="C3" s="339" t="s">
        <v>259</v>
      </c>
      <c r="D3" s="339"/>
      <c r="E3" s="339"/>
      <c r="F3" s="339"/>
      <c r="G3" s="339"/>
      <c r="H3" s="339"/>
      <c r="I3" s="339"/>
      <c r="J3" s="339"/>
      <c r="K3" s="339"/>
    </row>
    <row r="4" spans="2:17" ht="24" customHeight="1" thickBot="1">
      <c r="B4" s="55" t="s">
        <v>3</v>
      </c>
      <c r="C4" s="339" t="s">
        <v>279</v>
      </c>
      <c r="D4" s="339"/>
      <c r="E4" s="339"/>
      <c r="F4" s="339"/>
      <c r="G4" s="339"/>
      <c r="H4" s="339"/>
      <c r="I4" s="339"/>
      <c r="J4" s="339"/>
      <c r="K4" s="339"/>
    </row>
    <row r="5" spans="2:17" ht="32.25" thickBot="1">
      <c r="B5" s="366" t="s">
        <v>5</v>
      </c>
      <c r="C5" s="366" t="s">
        <v>6</v>
      </c>
      <c r="D5" s="366" t="s">
        <v>7</v>
      </c>
      <c r="E5" s="366" t="s">
        <v>8</v>
      </c>
      <c r="F5" s="367" t="s">
        <v>9</v>
      </c>
      <c r="G5" s="367" t="s">
        <v>10</v>
      </c>
      <c r="H5" s="262" t="s">
        <v>11</v>
      </c>
      <c r="I5" s="262" t="s">
        <v>12</v>
      </c>
      <c r="J5" s="262" t="s">
        <v>13</v>
      </c>
      <c r="K5" s="216" t="s">
        <v>14</v>
      </c>
      <c r="M5" s="213"/>
    </row>
    <row r="6" spans="2:17" ht="19.5" customHeight="1" thickBot="1">
      <c r="B6" s="366"/>
      <c r="C6" s="366"/>
      <c r="D6" s="366"/>
      <c r="E6" s="366"/>
      <c r="F6" s="367"/>
      <c r="G6" s="367"/>
      <c r="H6" s="262" t="s">
        <v>15</v>
      </c>
      <c r="I6" s="262" t="s">
        <v>280</v>
      </c>
      <c r="J6" s="262" t="s">
        <v>15</v>
      </c>
      <c r="K6" s="216"/>
      <c r="M6" s="213"/>
    </row>
    <row r="7" spans="2:17" ht="18" customHeight="1">
      <c r="B7" s="246"/>
      <c r="C7" s="225"/>
      <c r="D7" s="224"/>
      <c r="E7" s="225" t="s">
        <v>182</v>
      </c>
      <c r="F7" s="226"/>
      <c r="G7" s="227">
        <f>(86.17)-G8</f>
        <v>78.740000000000009</v>
      </c>
      <c r="H7" s="227"/>
      <c r="I7" s="228"/>
      <c r="J7" s="229"/>
      <c r="K7" s="247"/>
      <c r="M7" s="213"/>
      <c r="P7" s="263">
        <v>78.77</v>
      </c>
      <c r="Q7">
        <v>78.740000000000009</v>
      </c>
    </row>
    <row r="8" spans="2:17" ht="18" customHeight="1">
      <c r="B8" s="246"/>
      <c r="C8" s="225"/>
      <c r="D8" s="224"/>
      <c r="E8" s="225"/>
      <c r="F8" s="226"/>
      <c r="G8" s="245">
        <v>7.43</v>
      </c>
      <c r="H8" s="227"/>
      <c r="I8" s="228"/>
      <c r="J8" s="229"/>
      <c r="K8" s="247"/>
      <c r="M8" s="213"/>
      <c r="P8" s="263">
        <v>7.4</v>
      </c>
      <c r="Q8">
        <v>7.43</v>
      </c>
    </row>
    <row r="9" spans="2:17" ht="18" customHeight="1">
      <c r="B9" s="246">
        <v>1</v>
      </c>
      <c r="C9" s="225"/>
      <c r="D9" s="224"/>
      <c r="E9" s="225" t="s">
        <v>182</v>
      </c>
      <c r="F9" s="226"/>
      <c r="G9" s="227"/>
      <c r="H9" s="227"/>
      <c r="I9" s="228"/>
      <c r="J9" s="229"/>
      <c r="K9" s="247"/>
      <c r="M9" s="213"/>
      <c r="P9" s="263"/>
    </row>
    <row r="10" spans="2:17" ht="33" customHeight="1">
      <c r="B10" s="248" t="s">
        <v>18</v>
      </c>
      <c r="C10" s="7" t="s">
        <v>283</v>
      </c>
      <c r="D10" s="7">
        <v>7011</v>
      </c>
      <c r="E10" s="25" t="s">
        <v>240</v>
      </c>
      <c r="F10" s="7" t="s">
        <v>230</v>
      </c>
      <c r="G10" s="9">
        <v>1104.1099999999999</v>
      </c>
      <c r="H10" s="16">
        <v>5.15</v>
      </c>
      <c r="I10" s="10">
        <f>H10*1.2675</f>
        <v>6.5276250000000005</v>
      </c>
      <c r="J10" s="202">
        <f>ROUND(G10*I10,2)</f>
        <v>7207.22</v>
      </c>
      <c r="K10" s="249"/>
      <c r="L10" s="61"/>
      <c r="M10" s="213"/>
      <c r="P10" s="263">
        <v>1104.05</v>
      </c>
      <c r="Q10">
        <v>1104.1099999999999</v>
      </c>
    </row>
    <row r="11" spans="2:17" ht="34.5" customHeight="1">
      <c r="B11" s="248" t="s">
        <v>24</v>
      </c>
      <c r="C11" s="7" t="s">
        <v>283</v>
      </c>
      <c r="D11" s="7" t="s">
        <v>65</v>
      </c>
      <c r="E11" s="25" t="s">
        <v>241</v>
      </c>
      <c r="F11" s="7" t="s">
        <v>230</v>
      </c>
      <c r="G11" s="9">
        <v>1104.1099999999999</v>
      </c>
      <c r="H11" s="16">
        <v>27.12</v>
      </c>
      <c r="I11" s="10">
        <f>H11*1.2675</f>
        <v>34.374600000000001</v>
      </c>
      <c r="J11" s="202">
        <f>ROUND(G11*I11,2)</f>
        <v>37953.339999999997</v>
      </c>
      <c r="K11" s="249"/>
      <c r="M11" s="214"/>
      <c r="P11" s="263">
        <v>1104.05</v>
      </c>
      <c r="Q11">
        <v>1104.1099999999999</v>
      </c>
    </row>
    <row r="12" spans="2:17" ht="18.75" customHeight="1">
      <c r="B12" s="376" t="s">
        <v>38</v>
      </c>
      <c r="C12" s="370"/>
      <c r="D12" s="370"/>
      <c r="E12" s="371"/>
      <c r="F12" s="217"/>
      <c r="G12" s="218"/>
      <c r="H12" s="218"/>
      <c r="I12" s="219"/>
      <c r="J12" s="219">
        <f>ROUND(SUM(J10:J11),2)</f>
        <v>45160.56</v>
      </c>
      <c r="K12" s="250">
        <f>J12/J44</f>
        <v>0.19658830366334887</v>
      </c>
      <c r="M12" s="61">
        <f>J12/G10</f>
        <v>40.902228944579797</v>
      </c>
      <c r="O12" s="61"/>
      <c r="P12" s="263"/>
    </row>
    <row r="13" spans="2:17" ht="18" customHeight="1">
      <c r="B13" s="246">
        <v>2</v>
      </c>
      <c r="C13" s="225"/>
      <c r="D13" s="224"/>
      <c r="E13" s="225" t="s">
        <v>39</v>
      </c>
      <c r="F13" s="224"/>
      <c r="G13" s="227"/>
      <c r="H13" s="227"/>
      <c r="I13" s="232"/>
      <c r="J13" s="229"/>
      <c r="K13" s="247"/>
      <c r="P13" s="263"/>
    </row>
    <row r="14" spans="2:17" ht="18" customHeight="1">
      <c r="B14" s="251"/>
      <c r="C14" s="15"/>
      <c r="D14" s="26"/>
      <c r="E14" s="15" t="s">
        <v>222</v>
      </c>
      <c r="F14" s="26"/>
      <c r="G14" s="12"/>
      <c r="H14" s="12"/>
      <c r="I14" s="13"/>
      <c r="J14" s="231"/>
      <c r="K14" s="252"/>
      <c r="P14" s="263"/>
    </row>
    <row r="15" spans="2:17" s="206" customFormat="1" ht="48" customHeight="1">
      <c r="B15" s="253" t="s">
        <v>41</v>
      </c>
      <c r="C15" s="8" t="s">
        <v>283</v>
      </c>
      <c r="D15" s="8">
        <v>83338</v>
      </c>
      <c r="E15" s="23" t="s">
        <v>273</v>
      </c>
      <c r="F15" s="8" t="s">
        <v>231</v>
      </c>
      <c r="G15" s="14">
        <v>942.54</v>
      </c>
      <c r="H15" s="16">
        <v>2.34</v>
      </c>
      <c r="I15" s="16">
        <f>((H15*1.2675))</f>
        <v>2.9659499999999999</v>
      </c>
      <c r="J15" s="238">
        <f>ROUND(G15*I15,2)</f>
        <v>2795.53</v>
      </c>
      <c r="K15" s="254"/>
      <c r="P15" s="264">
        <v>942.48</v>
      </c>
      <c r="Q15" s="206">
        <v>942.54</v>
      </c>
    </row>
    <row r="16" spans="2:17" ht="65.25" customHeight="1">
      <c r="B16" s="253" t="s">
        <v>43</v>
      </c>
      <c r="C16" s="7" t="s">
        <v>283</v>
      </c>
      <c r="D16" s="190" t="s">
        <v>28</v>
      </c>
      <c r="E16" s="23" t="s">
        <v>239</v>
      </c>
      <c r="F16" s="7" t="s">
        <v>231</v>
      </c>
      <c r="G16" s="14">
        <v>1083.92</v>
      </c>
      <c r="H16" s="16">
        <v>1.47</v>
      </c>
      <c r="I16" s="10">
        <f>((H16*1.2675))</f>
        <v>1.8632250000000001</v>
      </c>
      <c r="J16" s="202">
        <f>ROUND(G16*I16,2)</f>
        <v>2019.59</v>
      </c>
      <c r="K16" s="254"/>
      <c r="P16" s="263">
        <v>1083.8499999999999</v>
      </c>
      <c r="Q16">
        <v>1083.92</v>
      </c>
    </row>
    <row r="17" spans="2:17" ht="33.75" customHeight="1">
      <c r="B17" s="253" t="s">
        <v>46</v>
      </c>
      <c r="C17" s="7" t="s">
        <v>283</v>
      </c>
      <c r="D17" s="7">
        <v>72887</v>
      </c>
      <c r="E17" s="17" t="s">
        <v>284</v>
      </c>
      <c r="F17" s="7" t="s">
        <v>242</v>
      </c>
      <c r="G17" s="9">
        <v>9755.2800000000007</v>
      </c>
      <c r="H17" s="16">
        <v>0.86</v>
      </c>
      <c r="I17" s="10">
        <f>((H17*1.2675))</f>
        <v>1.09005</v>
      </c>
      <c r="J17" s="202">
        <f>ROUND(G17*I17,2)</f>
        <v>10633.74</v>
      </c>
      <c r="K17" s="249"/>
      <c r="L17" s="61"/>
      <c r="P17" s="263">
        <v>9754.65</v>
      </c>
      <c r="Q17">
        <v>9755.2800000000007</v>
      </c>
    </row>
    <row r="18" spans="2:17" ht="15.75">
      <c r="B18" s="255"/>
      <c r="C18" s="24"/>
      <c r="D18" s="24"/>
      <c r="E18" s="15" t="s">
        <v>40</v>
      </c>
      <c r="F18" s="24"/>
      <c r="G18" s="12"/>
      <c r="H18" s="19"/>
      <c r="I18" s="19"/>
      <c r="J18" s="231"/>
      <c r="K18" s="252"/>
      <c r="L18" s="61"/>
      <c r="P18" s="263"/>
    </row>
    <row r="19" spans="2:17" ht="66" customHeight="1">
      <c r="B19" s="248" t="s">
        <v>48</v>
      </c>
      <c r="C19" s="7" t="s">
        <v>283</v>
      </c>
      <c r="D19" s="190" t="s">
        <v>202</v>
      </c>
      <c r="E19" s="23" t="s">
        <v>278</v>
      </c>
      <c r="F19" s="8" t="s">
        <v>231</v>
      </c>
      <c r="G19" s="14">
        <v>541.96</v>
      </c>
      <c r="H19" s="16">
        <v>3.1</v>
      </c>
      <c r="I19" s="10">
        <f>((H19*1.2675))</f>
        <v>3.9292500000000001</v>
      </c>
      <c r="J19" s="202">
        <f>ROUND(G19*I19,2)</f>
        <v>2129.5</v>
      </c>
      <c r="K19" s="254"/>
      <c r="N19" s="61"/>
      <c r="P19" s="263">
        <v>541.91999999999996</v>
      </c>
      <c r="Q19">
        <v>541.96</v>
      </c>
    </row>
    <row r="20" spans="2:17" ht="32.25" customHeight="1">
      <c r="B20" s="248" t="s">
        <v>50</v>
      </c>
      <c r="C20" s="7" t="s">
        <v>283</v>
      </c>
      <c r="D20" s="7">
        <v>72961</v>
      </c>
      <c r="E20" s="17" t="s">
        <v>238</v>
      </c>
      <c r="F20" s="7" t="s">
        <v>229</v>
      </c>
      <c r="G20" s="14">
        <v>2356.34</v>
      </c>
      <c r="H20" s="31">
        <v>1.17</v>
      </c>
      <c r="I20" s="10">
        <f>((H20*1.2675))</f>
        <v>1.4829749999999999</v>
      </c>
      <c r="J20" s="202">
        <f>ROUND(G20*I20,2)</f>
        <v>3494.39</v>
      </c>
      <c r="K20" s="256"/>
      <c r="P20" s="263">
        <v>2356.19</v>
      </c>
      <c r="Q20">
        <v>2356.34</v>
      </c>
    </row>
    <row r="21" spans="2:17" ht="52.5" customHeight="1">
      <c r="B21" s="248" t="s">
        <v>52</v>
      </c>
      <c r="C21" s="7" t="s">
        <v>283</v>
      </c>
      <c r="D21" s="7">
        <v>72886</v>
      </c>
      <c r="E21" s="17" t="s">
        <v>285</v>
      </c>
      <c r="F21" s="7" t="s">
        <v>242</v>
      </c>
      <c r="G21" s="9">
        <v>7587.44</v>
      </c>
      <c r="H21" s="16">
        <v>1.03</v>
      </c>
      <c r="I21" s="10">
        <f>((H21*1.2675))</f>
        <v>1.305525</v>
      </c>
      <c r="J21" s="202">
        <f>ROUND(G21*I21,2)</f>
        <v>9905.59</v>
      </c>
      <c r="K21" s="249"/>
      <c r="L21" s="61"/>
      <c r="N21" s="212"/>
      <c r="O21" s="61"/>
      <c r="P21" s="263">
        <v>7586.88</v>
      </c>
      <c r="Q21">
        <v>7587.44</v>
      </c>
    </row>
    <row r="22" spans="2:17" ht="16.5" customHeight="1">
      <c r="B22" s="251"/>
      <c r="C22" s="15"/>
      <c r="D22" s="26"/>
      <c r="E22" s="15" t="s">
        <v>45</v>
      </c>
      <c r="F22" s="26"/>
      <c r="G22" s="12"/>
      <c r="H22" s="12"/>
      <c r="I22" s="13"/>
      <c r="J22" s="231"/>
      <c r="K22" s="252"/>
      <c r="P22" s="263"/>
    </row>
    <row r="23" spans="2:17" ht="33.75" customHeight="1">
      <c r="B23" s="253" t="s">
        <v>54</v>
      </c>
      <c r="C23" s="7" t="s">
        <v>283</v>
      </c>
      <c r="D23" s="7">
        <v>73710</v>
      </c>
      <c r="E23" s="17" t="s">
        <v>264</v>
      </c>
      <c r="F23" s="7" t="s">
        <v>231</v>
      </c>
      <c r="G23" s="14">
        <v>471.27</v>
      </c>
      <c r="H23" s="16">
        <v>94</v>
      </c>
      <c r="I23" s="10">
        <f>((H23*1.2675))</f>
        <v>119.14500000000001</v>
      </c>
      <c r="J23" s="202">
        <f>ROUND(G23*I23,2)</f>
        <v>56149.46</v>
      </c>
      <c r="K23" s="254"/>
      <c r="L23" s="61">
        <f>SUM(J15:J23)</f>
        <v>87127.8</v>
      </c>
      <c r="M23" s="61">
        <f>L23/G20</f>
        <v>36.97590330767207</v>
      </c>
      <c r="N23" s="61"/>
      <c r="O23" s="61"/>
      <c r="P23" s="263">
        <v>471.24</v>
      </c>
      <c r="Q23">
        <v>471.27</v>
      </c>
    </row>
    <row r="24" spans="2:17" ht="16.5" customHeight="1">
      <c r="B24" s="251"/>
      <c r="C24" s="15"/>
      <c r="D24" s="26"/>
      <c r="E24" s="15" t="s">
        <v>149</v>
      </c>
      <c r="F24" s="26"/>
      <c r="G24" s="12"/>
      <c r="H24" s="12"/>
      <c r="I24" s="13"/>
      <c r="J24" s="231"/>
      <c r="K24" s="252"/>
      <c r="P24" s="263"/>
    </row>
    <row r="25" spans="2:17" ht="17.25" customHeight="1">
      <c r="B25" s="253" t="s">
        <v>57</v>
      </c>
      <c r="C25" s="7" t="s">
        <v>283</v>
      </c>
      <c r="D25" s="7">
        <v>72945</v>
      </c>
      <c r="E25" s="23" t="s">
        <v>225</v>
      </c>
      <c r="F25" s="7" t="s">
        <v>229</v>
      </c>
      <c r="G25" s="14">
        <v>3133.51</v>
      </c>
      <c r="H25" s="16">
        <v>4.38</v>
      </c>
      <c r="I25" s="10">
        <f>((H25*1.2675))</f>
        <v>5.5516500000000004</v>
      </c>
      <c r="J25" s="202">
        <f>ROUND(G25*I25,2)</f>
        <v>17396.150000000001</v>
      </c>
      <c r="K25" s="249"/>
      <c r="L25" s="61"/>
      <c r="P25" s="263">
        <v>3133.36</v>
      </c>
      <c r="Q25">
        <v>3133.51</v>
      </c>
    </row>
    <row r="26" spans="2:17" ht="21" customHeight="1">
      <c r="B26" s="253" t="s">
        <v>252</v>
      </c>
      <c r="C26" s="7" t="s">
        <v>283</v>
      </c>
      <c r="D26" s="7">
        <v>72942</v>
      </c>
      <c r="E26" s="23" t="s">
        <v>224</v>
      </c>
      <c r="F26" s="7" t="s">
        <v>229</v>
      </c>
      <c r="G26" s="14">
        <v>3133.51</v>
      </c>
      <c r="H26" s="16">
        <v>1.23</v>
      </c>
      <c r="I26" s="10">
        <f>((H26*1.2675))</f>
        <v>1.5590250000000001</v>
      </c>
      <c r="J26" s="202">
        <f>ROUND(G26*I26,2)</f>
        <v>4885.22</v>
      </c>
      <c r="K26" s="249"/>
      <c r="P26" s="263">
        <v>3133.36</v>
      </c>
      <c r="Q26">
        <v>3133.51</v>
      </c>
    </row>
    <row r="27" spans="2:17" ht="47.25" customHeight="1">
      <c r="B27" s="253" t="s">
        <v>253</v>
      </c>
      <c r="C27" s="7" t="s">
        <v>283</v>
      </c>
      <c r="D27" s="49">
        <v>72965</v>
      </c>
      <c r="E27" s="23" t="s">
        <v>265</v>
      </c>
      <c r="F27" s="7" t="s">
        <v>271</v>
      </c>
      <c r="G27" s="14">
        <v>235.01</v>
      </c>
      <c r="H27" s="16">
        <v>204.77</v>
      </c>
      <c r="I27" s="10">
        <f>((H27*1.2675))</f>
        <v>259.54597500000006</v>
      </c>
      <c r="J27" s="202">
        <f>ROUND(G27*I27,2)</f>
        <v>60995.9</v>
      </c>
      <c r="K27" s="249"/>
      <c r="L27" s="61"/>
      <c r="P27" s="263">
        <v>235</v>
      </c>
      <c r="Q27">
        <v>235.01</v>
      </c>
    </row>
    <row r="28" spans="2:17" ht="39" customHeight="1">
      <c r="B28" s="253" t="s">
        <v>254</v>
      </c>
      <c r="C28" s="7" t="s">
        <v>283</v>
      </c>
      <c r="D28" s="7">
        <v>83357</v>
      </c>
      <c r="E28" s="17" t="s">
        <v>286</v>
      </c>
      <c r="F28" s="7" t="s">
        <v>272</v>
      </c>
      <c r="G28" s="9">
        <v>7755.33</v>
      </c>
      <c r="H28" s="16">
        <v>0.79</v>
      </c>
      <c r="I28" s="10">
        <f>((H28*1.2675))</f>
        <v>1.001325</v>
      </c>
      <c r="J28" s="202">
        <f>ROUND(G28*I28,2)</f>
        <v>7765.61</v>
      </c>
      <c r="K28" s="249"/>
      <c r="L28" s="61"/>
      <c r="P28" s="263">
        <v>7755</v>
      </c>
      <c r="Q28">
        <v>7755.33</v>
      </c>
    </row>
    <row r="29" spans="2:17" ht="45">
      <c r="B29" s="253" t="s">
        <v>255</v>
      </c>
      <c r="C29" s="7" t="s">
        <v>283</v>
      </c>
      <c r="D29" s="7">
        <v>72891</v>
      </c>
      <c r="E29" s="17" t="s">
        <v>237</v>
      </c>
      <c r="F29" s="7" t="s">
        <v>231</v>
      </c>
      <c r="G29" s="9">
        <v>94.01</v>
      </c>
      <c r="H29" s="16">
        <v>4.49</v>
      </c>
      <c r="I29" s="10">
        <f>((H29*1.2675))</f>
        <v>5.6910750000000005</v>
      </c>
      <c r="J29" s="202">
        <f>ROUND(G29*I29,2)</f>
        <v>535.02</v>
      </c>
      <c r="K29" s="249"/>
      <c r="L29" s="61">
        <f>SUM(J25:J29)</f>
        <v>91577.900000000009</v>
      </c>
      <c r="M29" s="61">
        <f>L29/G25</f>
        <v>29.225341549891336</v>
      </c>
      <c r="N29" s="212"/>
      <c r="O29" s="61"/>
      <c r="P29" s="263">
        <v>94</v>
      </c>
      <c r="Q29">
        <v>94.01</v>
      </c>
    </row>
    <row r="30" spans="2:17" ht="19.5" customHeight="1">
      <c r="B30" s="376" t="s">
        <v>38</v>
      </c>
      <c r="C30" s="370"/>
      <c r="D30" s="370"/>
      <c r="E30" s="371"/>
      <c r="F30" s="217"/>
      <c r="G30" s="218"/>
      <c r="H30" s="218"/>
      <c r="I30" s="219"/>
      <c r="J30" s="219">
        <f>ROUND(SUM(J15:J29),2)</f>
        <v>178705.7</v>
      </c>
      <c r="K30" s="250">
        <f>J30/J44</f>
        <v>0.77792326795706979</v>
      </c>
      <c r="L30" s="212"/>
      <c r="P30" s="263"/>
    </row>
    <row r="31" spans="2:17" ht="19.5" customHeight="1">
      <c r="B31" s="246">
        <v>3</v>
      </c>
      <c r="C31" s="225"/>
      <c r="D31" s="224"/>
      <c r="E31" s="225" t="s">
        <v>275</v>
      </c>
      <c r="F31" s="224"/>
      <c r="G31" s="227"/>
      <c r="H31" s="227"/>
      <c r="I31" s="232"/>
      <c r="J31" s="229"/>
      <c r="K31" s="247"/>
      <c r="P31" s="263"/>
    </row>
    <row r="32" spans="2:17" ht="36.75" customHeight="1">
      <c r="B32" s="248" t="s">
        <v>61</v>
      </c>
      <c r="C32" s="7" t="s">
        <v>283</v>
      </c>
      <c r="D32" s="7">
        <v>72947</v>
      </c>
      <c r="E32" s="17" t="s">
        <v>226</v>
      </c>
      <c r="F32" s="7" t="s">
        <v>229</v>
      </c>
      <c r="G32" s="9">
        <v>72</v>
      </c>
      <c r="H32" s="14">
        <v>18.38</v>
      </c>
      <c r="I32" s="10">
        <f>((H32*1.2675))</f>
        <v>23.29665</v>
      </c>
      <c r="J32" s="202">
        <f>ROUND(G32*I32,2)</f>
        <v>1677.36</v>
      </c>
      <c r="K32" s="257"/>
      <c r="L32" s="61"/>
      <c r="P32" s="263">
        <v>72</v>
      </c>
      <c r="Q32">
        <v>72</v>
      </c>
    </row>
    <row r="33" spans="2:17" ht="33.75" customHeight="1">
      <c r="B33" s="248" t="s">
        <v>64</v>
      </c>
      <c r="C33" s="7" t="s">
        <v>283</v>
      </c>
      <c r="D33" s="7" t="s">
        <v>71</v>
      </c>
      <c r="E33" s="17" t="s">
        <v>267</v>
      </c>
      <c r="F33" s="7" t="s">
        <v>227</v>
      </c>
      <c r="G33" s="9">
        <v>8</v>
      </c>
      <c r="H33" s="14">
        <v>87.67</v>
      </c>
      <c r="I33" s="10">
        <f>((H33*1.2675))</f>
        <v>111.12172500000001</v>
      </c>
      <c r="J33" s="202">
        <f>ROUND(G33*I33,2)</f>
        <v>888.97</v>
      </c>
      <c r="K33" s="257"/>
      <c r="L33" s="61"/>
      <c r="P33" s="263">
        <v>8</v>
      </c>
      <c r="Q33">
        <v>8</v>
      </c>
    </row>
    <row r="34" spans="2:17" ht="36.75" customHeight="1">
      <c r="B34" s="248" t="s">
        <v>195</v>
      </c>
      <c r="C34" s="7" t="s">
        <v>283</v>
      </c>
      <c r="D34" s="7">
        <v>92336</v>
      </c>
      <c r="E34" s="17" t="s">
        <v>251</v>
      </c>
      <c r="F34" s="7" t="s">
        <v>230</v>
      </c>
      <c r="G34" s="9">
        <v>28.8</v>
      </c>
      <c r="H34" s="14">
        <v>58.45</v>
      </c>
      <c r="I34" s="10">
        <f>((H34*1.2675))</f>
        <v>74.085375000000013</v>
      </c>
      <c r="J34" s="202">
        <f>ROUND(G34*I34,2)</f>
        <v>2133.66</v>
      </c>
      <c r="K34" s="257"/>
      <c r="L34" s="61"/>
      <c r="P34" s="263">
        <v>28.8</v>
      </c>
      <c r="Q34">
        <v>28.8</v>
      </c>
    </row>
    <row r="35" spans="2:17" ht="19.5" customHeight="1">
      <c r="B35" s="376" t="s">
        <v>38</v>
      </c>
      <c r="C35" s="370"/>
      <c r="D35" s="370"/>
      <c r="E35" s="371"/>
      <c r="F35" s="217"/>
      <c r="G35" s="218"/>
      <c r="H35" s="218"/>
      <c r="I35" s="219"/>
      <c r="J35" s="221">
        <f>ROUND(SUM(J32:J34),2)</f>
        <v>4699.99</v>
      </c>
      <c r="K35" s="250">
        <f>J35/J44</f>
        <v>2.0459512931963266E-2</v>
      </c>
      <c r="P35" s="263"/>
    </row>
    <row r="36" spans="2:17" ht="18.75" customHeight="1">
      <c r="B36" s="246">
        <v>4</v>
      </c>
      <c r="C36" s="225"/>
      <c r="D36" s="224"/>
      <c r="E36" s="225" t="s">
        <v>274</v>
      </c>
      <c r="F36" s="224"/>
      <c r="G36" s="227"/>
      <c r="H36" s="227"/>
      <c r="I36" s="232"/>
      <c r="J36" s="229"/>
      <c r="K36" s="247"/>
      <c r="P36" s="263"/>
    </row>
    <row r="37" spans="2:17" ht="36" customHeight="1">
      <c r="B37" s="248" t="s">
        <v>68</v>
      </c>
      <c r="C37" s="7" t="s">
        <v>283</v>
      </c>
      <c r="D37" s="7" t="s">
        <v>234</v>
      </c>
      <c r="E37" s="17" t="s">
        <v>236</v>
      </c>
      <c r="F37" s="7" t="s">
        <v>229</v>
      </c>
      <c r="G37" s="9">
        <v>16.8</v>
      </c>
      <c r="H37" s="14">
        <v>0.49</v>
      </c>
      <c r="I37" s="10">
        <f t="shared" ref="I37:I42" si="0">((H37*1.2675))</f>
        <v>0.62107500000000004</v>
      </c>
      <c r="J37" s="202">
        <f t="shared" ref="J37:J42" si="1">ROUND(G37*I37,2)</f>
        <v>10.43</v>
      </c>
      <c r="K37" s="257"/>
      <c r="P37" s="263">
        <v>16.8</v>
      </c>
      <c r="Q37">
        <v>16.8</v>
      </c>
    </row>
    <row r="38" spans="2:17" ht="19.5" customHeight="1">
      <c r="B38" s="248" t="s">
        <v>70</v>
      </c>
      <c r="C38" s="7" t="s">
        <v>283</v>
      </c>
      <c r="D38" s="7">
        <v>85422</v>
      </c>
      <c r="E38" s="17" t="s">
        <v>233</v>
      </c>
      <c r="F38" s="7" t="s">
        <v>229</v>
      </c>
      <c r="G38" s="9">
        <v>16.8</v>
      </c>
      <c r="H38" s="14">
        <v>5.72</v>
      </c>
      <c r="I38" s="10">
        <f t="shared" si="0"/>
        <v>7.2500999999999998</v>
      </c>
      <c r="J38" s="202">
        <f t="shared" si="1"/>
        <v>121.8</v>
      </c>
      <c r="K38" s="257"/>
      <c r="L38" s="61"/>
      <c r="P38" s="263">
        <v>16.8</v>
      </c>
      <c r="Q38">
        <v>16.8</v>
      </c>
    </row>
    <row r="39" spans="2:17" ht="34.5" customHeight="1">
      <c r="B39" s="248" t="s">
        <v>73</v>
      </c>
      <c r="C39" s="7" t="s">
        <v>283</v>
      </c>
      <c r="D39" s="7">
        <v>5622</v>
      </c>
      <c r="E39" s="17" t="s">
        <v>270</v>
      </c>
      <c r="F39" s="7" t="s">
        <v>229</v>
      </c>
      <c r="G39" s="9">
        <v>16.8</v>
      </c>
      <c r="H39" s="14">
        <v>4.72</v>
      </c>
      <c r="I39" s="10">
        <f t="shared" si="0"/>
        <v>5.9825999999999997</v>
      </c>
      <c r="J39" s="202">
        <f t="shared" si="1"/>
        <v>100.51</v>
      </c>
      <c r="K39" s="257"/>
      <c r="L39" s="61"/>
      <c r="P39" s="263">
        <v>16.8</v>
      </c>
      <c r="Q39">
        <v>16.8</v>
      </c>
    </row>
    <row r="40" spans="2:17" ht="18" customHeight="1">
      <c r="B40" s="248" t="s">
        <v>256</v>
      </c>
      <c r="C40" s="7" t="s">
        <v>283</v>
      </c>
      <c r="D40" s="7" t="s">
        <v>82</v>
      </c>
      <c r="E40" s="17" t="s">
        <v>281</v>
      </c>
      <c r="F40" s="7" t="s">
        <v>231</v>
      </c>
      <c r="G40" s="9">
        <v>0.67</v>
      </c>
      <c r="H40" s="14">
        <v>85.81</v>
      </c>
      <c r="I40" s="10">
        <f t="shared" si="0"/>
        <v>108.76417500000001</v>
      </c>
      <c r="J40" s="202">
        <f t="shared" si="1"/>
        <v>72.87</v>
      </c>
      <c r="K40" s="257"/>
      <c r="L40" s="61"/>
      <c r="P40" s="263">
        <v>0.67</v>
      </c>
      <c r="Q40">
        <v>0.67</v>
      </c>
    </row>
    <row r="41" spans="2:17" ht="66" customHeight="1">
      <c r="B41" s="248" t="s">
        <v>257</v>
      </c>
      <c r="C41" s="7" t="s">
        <v>283</v>
      </c>
      <c r="D41" s="7" t="s">
        <v>85</v>
      </c>
      <c r="E41" s="17" t="s">
        <v>268</v>
      </c>
      <c r="F41" s="7" t="s">
        <v>229</v>
      </c>
      <c r="G41" s="9">
        <v>16.8</v>
      </c>
      <c r="H41" s="14">
        <v>33.159999999999997</v>
      </c>
      <c r="I41" s="10">
        <f t="shared" si="0"/>
        <v>42.030299999999997</v>
      </c>
      <c r="J41" s="202">
        <f t="shared" si="1"/>
        <v>706.11</v>
      </c>
      <c r="K41" s="257"/>
      <c r="L41" s="61"/>
      <c r="P41" s="263">
        <v>16.8</v>
      </c>
      <c r="Q41">
        <v>16.8</v>
      </c>
    </row>
    <row r="42" spans="2:17" ht="30.75" customHeight="1">
      <c r="B42" s="248" t="s">
        <v>258</v>
      </c>
      <c r="C42" s="7" t="s">
        <v>283</v>
      </c>
      <c r="D42" s="7" t="s">
        <v>87</v>
      </c>
      <c r="E42" s="17" t="s">
        <v>88</v>
      </c>
      <c r="F42" s="7" t="s">
        <v>229</v>
      </c>
      <c r="G42" s="9">
        <v>9.89</v>
      </c>
      <c r="H42" s="14">
        <v>11.45</v>
      </c>
      <c r="I42" s="10">
        <f t="shared" si="0"/>
        <v>14.512874999999999</v>
      </c>
      <c r="J42" s="202">
        <f t="shared" si="1"/>
        <v>143.53</v>
      </c>
      <c r="K42" s="257"/>
      <c r="L42" s="61"/>
      <c r="P42" s="263">
        <v>9.64</v>
      </c>
      <c r="Q42">
        <v>9.89</v>
      </c>
    </row>
    <row r="43" spans="2:17" ht="16.5" customHeight="1" thickBot="1">
      <c r="B43" s="377" t="s">
        <v>38</v>
      </c>
      <c r="C43" s="374"/>
      <c r="D43" s="374"/>
      <c r="E43" s="375"/>
      <c r="F43" s="217"/>
      <c r="G43" s="218"/>
      <c r="H43" s="218"/>
      <c r="I43" s="219"/>
      <c r="J43" s="219">
        <f>ROUND(SUM(J37:J42),2)</f>
        <v>1155.25</v>
      </c>
      <c r="K43" s="250">
        <f>J43/J44</f>
        <v>5.0289154476180938E-3</v>
      </c>
      <c r="L43" s="61"/>
    </row>
    <row r="44" spans="2:17" ht="22.5" customHeight="1" thickBot="1">
      <c r="B44" s="378" t="s">
        <v>197</v>
      </c>
      <c r="C44" s="378"/>
      <c r="D44" s="378"/>
      <c r="E44" s="378"/>
      <c r="F44" s="378"/>
      <c r="G44" s="378"/>
      <c r="H44" s="378"/>
      <c r="I44" s="378"/>
      <c r="J44" s="222">
        <f>ROUND(J12+J30+J43+J35,2)</f>
        <v>229721.5</v>
      </c>
      <c r="K44" s="223">
        <f>K12+K30+K43+K35</f>
        <v>1</v>
      </c>
      <c r="L44" s="5"/>
    </row>
    <row r="45" spans="2:17" ht="15.75">
      <c r="B45" s="27" t="s">
        <v>282</v>
      </c>
      <c r="C45" s="27"/>
      <c r="D45" s="27"/>
      <c r="E45" s="27"/>
      <c r="F45" s="28"/>
      <c r="G45" s="27"/>
      <c r="H45" s="335" t="s">
        <v>287</v>
      </c>
      <c r="I45" s="335"/>
      <c r="J45" s="335"/>
      <c r="K45" s="335"/>
      <c r="L45" s="1"/>
    </row>
    <row r="46" spans="2:17" ht="15.75">
      <c r="B46" s="27"/>
      <c r="C46" s="27"/>
      <c r="D46" s="27"/>
      <c r="E46" s="27"/>
      <c r="F46" s="28"/>
      <c r="G46" s="27"/>
      <c r="H46" s="259"/>
      <c r="I46" s="259"/>
      <c r="J46" s="259"/>
      <c r="K46" s="259"/>
      <c r="L46" s="1"/>
    </row>
    <row r="47" spans="2:17" ht="15.75">
      <c r="B47" s="27"/>
      <c r="C47" s="27"/>
      <c r="D47" s="27"/>
      <c r="E47" s="27"/>
      <c r="F47" s="28"/>
      <c r="G47" s="27"/>
      <c r="H47" s="259"/>
      <c r="I47" s="259"/>
      <c r="J47" s="259"/>
      <c r="K47" s="259"/>
      <c r="L47" s="1"/>
    </row>
    <row r="48" spans="2:17" ht="15.75">
      <c r="B48" s="20"/>
      <c r="C48" s="20"/>
      <c r="D48" s="20"/>
      <c r="E48" s="20"/>
      <c r="F48" s="21"/>
      <c r="G48" s="20"/>
      <c r="H48" s="333"/>
      <c r="I48" s="333"/>
      <c r="J48" s="333"/>
      <c r="K48" s="333"/>
      <c r="L48" s="64"/>
    </row>
    <row r="49" spans="2:13" ht="15.75">
      <c r="B49" s="20"/>
      <c r="C49" s="20"/>
      <c r="D49" s="20"/>
      <c r="E49" s="20"/>
      <c r="F49" s="21"/>
      <c r="G49" s="20"/>
      <c r="H49" s="258"/>
      <c r="I49" s="258"/>
      <c r="J49" s="258"/>
      <c r="K49" s="258"/>
      <c r="L49" s="1"/>
    </row>
    <row r="50" spans="2:13" ht="15.75">
      <c r="B50" s="29" t="s">
        <v>95</v>
      </c>
      <c r="C50" s="29"/>
      <c r="D50" s="29"/>
      <c r="E50" s="30"/>
      <c r="F50" s="334" t="s">
        <v>244</v>
      </c>
      <c r="G50" s="334"/>
      <c r="H50" s="334"/>
      <c r="I50" s="334"/>
      <c r="J50" s="334"/>
      <c r="K50" s="334"/>
      <c r="L50" s="1"/>
      <c r="M50" s="61"/>
    </row>
    <row r="51" spans="2:13">
      <c r="B51" s="331" t="s">
        <v>96</v>
      </c>
      <c r="C51" s="331"/>
      <c r="D51" s="331"/>
      <c r="E51" s="331"/>
      <c r="F51" s="343" t="s">
        <v>245</v>
      </c>
      <c r="G51" s="343"/>
      <c r="H51" s="343"/>
      <c r="I51" s="343"/>
      <c r="J51" s="343"/>
      <c r="K51" s="343"/>
      <c r="L51" s="1"/>
      <c r="M51" s="61"/>
    </row>
    <row r="52" spans="2:13" ht="15.75">
      <c r="B52" s="2"/>
      <c r="C52" s="2"/>
      <c r="D52" s="2"/>
      <c r="E52" s="3"/>
      <c r="F52" s="372"/>
      <c r="G52" s="372"/>
      <c r="H52" s="372"/>
      <c r="I52" s="372"/>
      <c r="J52" s="372"/>
      <c r="K52" s="372"/>
      <c r="L52" s="1"/>
    </row>
    <row r="53" spans="2:13">
      <c r="B53" s="260"/>
      <c r="C53" s="260"/>
      <c r="D53" s="260"/>
      <c r="E53" s="260"/>
      <c r="F53" s="260"/>
      <c r="G53" s="260"/>
    </row>
    <row r="54" spans="2:13">
      <c r="B54" s="336"/>
      <c r="C54" s="336"/>
      <c r="D54" s="336"/>
      <c r="E54" s="336"/>
      <c r="F54" s="336"/>
      <c r="G54" s="336"/>
    </row>
    <row r="55" spans="2:13">
      <c r="B55" s="337"/>
      <c r="C55" s="337"/>
      <c r="D55" s="337"/>
      <c r="E55" s="337"/>
      <c r="F55" s="337"/>
      <c r="G55" s="337"/>
    </row>
    <row r="56" spans="2:13">
      <c r="B56" s="337"/>
      <c r="C56" s="337"/>
      <c r="D56" s="337"/>
      <c r="E56" s="337"/>
      <c r="F56" s="337"/>
      <c r="G56" s="337"/>
    </row>
  </sheetData>
  <mergeCells count="23">
    <mergeCell ref="H45:K45"/>
    <mergeCell ref="B1:K1"/>
    <mergeCell ref="C3:K3"/>
    <mergeCell ref="C4:K4"/>
    <mergeCell ref="B5:B6"/>
    <mergeCell ref="C5:C6"/>
    <mergeCell ref="D5:D6"/>
    <mergeCell ref="E5:E6"/>
    <mergeCell ref="F5:F6"/>
    <mergeCell ref="G5:G6"/>
    <mergeCell ref="B12:E12"/>
    <mergeCell ref="B30:E30"/>
    <mergeCell ref="B35:E35"/>
    <mergeCell ref="B43:E43"/>
    <mergeCell ref="B44:I44"/>
    <mergeCell ref="B55:G55"/>
    <mergeCell ref="B56:G56"/>
    <mergeCell ref="H48:K48"/>
    <mergeCell ref="F50:K50"/>
    <mergeCell ref="B51:E51"/>
    <mergeCell ref="F51:K51"/>
    <mergeCell ref="F52:K52"/>
    <mergeCell ref="B54:G54"/>
  </mergeCells>
  <pageMargins left="0.12" right="0" top="1.1399999999999999" bottom="1.28" header="0.31496062992125984" footer="0.31496062992125984"/>
  <pageSetup paperSize="9" scale="62" fitToHeight="0" orientation="landscape" r:id="rId1"/>
  <headerFooter>
    <oddHeader>&amp;C&amp;G</oddHeader>
    <oddFooter>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"/>
  <sheetViews>
    <sheetView view="pageBreakPreview" zoomScaleSheetLayoutView="100" workbookViewId="0">
      <selection activeCell="B10" sqref="B10:B25"/>
    </sheetView>
  </sheetViews>
  <sheetFormatPr defaultColWidth="11.42578125" defaultRowHeight="15"/>
  <cols>
    <col min="1" max="1" width="10.140625" customWidth="1"/>
    <col min="2" max="2" width="52.7109375" customWidth="1"/>
    <col min="3" max="17" width="3.7109375" customWidth="1"/>
    <col min="18" max="18" width="4.7109375" customWidth="1"/>
    <col min="19" max="19" width="16.28515625" customWidth="1"/>
    <col min="20" max="20" width="17.28515625" customWidth="1"/>
    <col min="257" max="257" width="10.140625" customWidth="1"/>
    <col min="258" max="258" width="82" customWidth="1"/>
    <col min="259" max="273" width="3.7109375" customWidth="1"/>
    <col min="274" max="274" width="4.7109375" customWidth="1"/>
    <col min="275" max="275" width="24.5703125" customWidth="1"/>
    <col min="276" max="276" width="19.5703125" customWidth="1"/>
    <col min="513" max="513" width="10.140625" customWidth="1"/>
    <col min="514" max="514" width="82" customWidth="1"/>
    <col min="515" max="529" width="3.7109375" customWidth="1"/>
    <col min="530" max="530" width="4.7109375" customWidth="1"/>
    <col min="531" max="531" width="24.5703125" customWidth="1"/>
    <col min="532" max="532" width="19.5703125" customWidth="1"/>
    <col min="769" max="769" width="10.140625" customWidth="1"/>
    <col min="770" max="770" width="82" customWidth="1"/>
    <col min="771" max="785" width="3.7109375" customWidth="1"/>
    <col min="786" max="786" width="4.7109375" customWidth="1"/>
    <col min="787" max="787" width="24.5703125" customWidth="1"/>
    <col min="788" max="788" width="19.5703125" customWidth="1"/>
    <col min="1025" max="1025" width="10.140625" customWidth="1"/>
    <col min="1026" max="1026" width="82" customWidth="1"/>
    <col min="1027" max="1041" width="3.7109375" customWidth="1"/>
    <col min="1042" max="1042" width="4.7109375" customWidth="1"/>
    <col min="1043" max="1043" width="24.5703125" customWidth="1"/>
    <col min="1044" max="1044" width="19.5703125" customWidth="1"/>
    <col min="1281" max="1281" width="10.140625" customWidth="1"/>
    <col min="1282" max="1282" width="82" customWidth="1"/>
    <col min="1283" max="1297" width="3.7109375" customWidth="1"/>
    <col min="1298" max="1298" width="4.7109375" customWidth="1"/>
    <col min="1299" max="1299" width="24.5703125" customWidth="1"/>
    <col min="1300" max="1300" width="19.5703125" customWidth="1"/>
    <col min="1537" max="1537" width="10.140625" customWidth="1"/>
    <col min="1538" max="1538" width="82" customWidth="1"/>
    <col min="1539" max="1553" width="3.7109375" customWidth="1"/>
    <col min="1554" max="1554" width="4.7109375" customWidth="1"/>
    <col min="1555" max="1555" width="24.5703125" customWidth="1"/>
    <col min="1556" max="1556" width="19.5703125" customWidth="1"/>
    <col min="1793" max="1793" width="10.140625" customWidth="1"/>
    <col min="1794" max="1794" width="82" customWidth="1"/>
    <col min="1795" max="1809" width="3.7109375" customWidth="1"/>
    <col min="1810" max="1810" width="4.7109375" customWidth="1"/>
    <col min="1811" max="1811" width="24.5703125" customWidth="1"/>
    <col min="1812" max="1812" width="19.5703125" customWidth="1"/>
    <col min="2049" max="2049" width="10.140625" customWidth="1"/>
    <col min="2050" max="2050" width="82" customWidth="1"/>
    <col min="2051" max="2065" width="3.7109375" customWidth="1"/>
    <col min="2066" max="2066" width="4.7109375" customWidth="1"/>
    <col min="2067" max="2067" width="24.5703125" customWidth="1"/>
    <col min="2068" max="2068" width="19.5703125" customWidth="1"/>
    <col min="2305" max="2305" width="10.140625" customWidth="1"/>
    <col min="2306" max="2306" width="82" customWidth="1"/>
    <col min="2307" max="2321" width="3.7109375" customWidth="1"/>
    <col min="2322" max="2322" width="4.7109375" customWidth="1"/>
    <col min="2323" max="2323" width="24.5703125" customWidth="1"/>
    <col min="2324" max="2324" width="19.5703125" customWidth="1"/>
    <col min="2561" max="2561" width="10.140625" customWidth="1"/>
    <col min="2562" max="2562" width="82" customWidth="1"/>
    <col min="2563" max="2577" width="3.7109375" customWidth="1"/>
    <col min="2578" max="2578" width="4.7109375" customWidth="1"/>
    <col min="2579" max="2579" width="24.5703125" customWidth="1"/>
    <col min="2580" max="2580" width="19.5703125" customWidth="1"/>
    <col min="2817" max="2817" width="10.140625" customWidth="1"/>
    <col min="2818" max="2818" width="82" customWidth="1"/>
    <col min="2819" max="2833" width="3.7109375" customWidth="1"/>
    <col min="2834" max="2834" width="4.7109375" customWidth="1"/>
    <col min="2835" max="2835" width="24.5703125" customWidth="1"/>
    <col min="2836" max="2836" width="19.5703125" customWidth="1"/>
    <col min="3073" max="3073" width="10.140625" customWidth="1"/>
    <col min="3074" max="3074" width="82" customWidth="1"/>
    <col min="3075" max="3089" width="3.7109375" customWidth="1"/>
    <col min="3090" max="3090" width="4.7109375" customWidth="1"/>
    <col min="3091" max="3091" width="24.5703125" customWidth="1"/>
    <col min="3092" max="3092" width="19.5703125" customWidth="1"/>
    <col min="3329" max="3329" width="10.140625" customWidth="1"/>
    <col min="3330" max="3330" width="82" customWidth="1"/>
    <col min="3331" max="3345" width="3.7109375" customWidth="1"/>
    <col min="3346" max="3346" width="4.7109375" customWidth="1"/>
    <col min="3347" max="3347" width="24.5703125" customWidth="1"/>
    <col min="3348" max="3348" width="19.5703125" customWidth="1"/>
    <col min="3585" max="3585" width="10.140625" customWidth="1"/>
    <col min="3586" max="3586" width="82" customWidth="1"/>
    <col min="3587" max="3601" width="3.7109375" customWidth="1"/>
    <col min="3602" max="3602" width="4.7109375" customWidth="1"/>
    <col min="3603" max="3603" width="24.5703125" customWidth="1"/>
    <col min="3604" max="3604" width="19.5703125" customWidth="1"/>
    <col min="3841" max="3841" width="10.140625" customWidth="1"/>
    <col min="3842" max="3842" width="82" customWidth="1"/>
    <col min="3843" max="3857" width="3.7109375" customWidth="1"/>
    <col min="3858" max="3858" width="4.7109375" customWidth="1"/>
    <col min="3859" max="3859" width="24.5703125" customWidth="1"/>
    <col min="3860" max="3860" width="19.5703125" customWidth="1"/>
    <col min="4097" max="4097" width="10.140625" customWidth="1"/>
    <col min="4098" max="4098" width="82" customWidth="1"/>
    <col min="4099" max="4113" width="3.7109375" customWidth="1"/>
    <col min="4114" max="4114" width="4.7109375" customWidth="1"/>
    <col min="4115" max="4115" width="24.5703125" customWidth="1"/>
    <col min="4116" max="4116" width="19.5703125" customWidth="1"/>
    <col min="4353" max="4353" width="10.140625" customWidth="1"/>
    <col min="4354" max="4354" width="82" customWidth="1"/>
    <col min="4355" max="4369" width="3.7109375" customWidth="1"/>
    <col min="4370" max="4370" width="4.7109375" customWidth="1"/>
    <col min="4371" max="4371" width="24.5703125" customWidth="1"/>
    <col min="4372" max="4372" width="19.5703125" customWidth="1"/>
    <col min="4609" max="4609" width="10.140625" customWidth="1"/>
    <col min="4610" max="4610" width="82" customWidth="1"/>
    <col min="4611" max="4625" width="3.7109375" customWidth="1"/>
    <col min="4626" max="4626" width="4.7109375" customWidth="1"/>
    <col min="4627" max="4627" width="24.5703125" customWidth="1"/>
    <col min="4628" max="4628" width="19.5703125" customWidth="1"/>
    <col min="4865" max="4865" width="10.140625" customWidth="1"/>
    <col min="4866" max="4866" width="82" customWidth="1"/>
    <col min="4867" max="4881" width="3.7109375" customWidth="1"/>
    <col min="4882" max="4882" width="4.7109375" customWidth="1"/>
    <col min="4883" max="4883" width="24.5703125" customWidth="1"/>
    <col min="4884" max="4884" width="19.5703125" customWidth="1"/>
    <col min="5121" max="5121" width="10.140625" customWidth="1"/>
    <col min="5122" max="5122" width="82" customWidth="1"/>
    <col min="5123" max="5137" width="3.7109375" customWidth="1"/>
    <col min="5138" max="5138" width="4.7109375" customWidth="1"/>
    <col min="5139" max="5139" width="24.5703125" customWidth="1"/>
    <col min="5140" max="5140" width="19.5703125" customWidth="1"/>
    <col min="5377" max="5377" width="10.140625" customWidth="1"/>
    <col min="5378" max="5378" width="82" customWidth="1"/>
    <col min="5379" max="5393" width="3.7109375" customWidth="1"/>
    <col min="5394" max="5394" width="4.7109375" customWidth="1"/>
    <col min="5395" max="5395" width="24.5703125" customWidth="1"/>
    <col min="5396" max="5396" width="19.5703125" customWidth="1"/>
    <col min="5633" max="5633" width="10.140625" customWidth="1"/>
    <col min="5634" max="5634" width="82" customWidth="1"/>
    <col min="5635" max="5649" width="3.7109375" customWidth="1"/>
    <col min="5650" max="5650" width="4.7109375" customWidth="1"/>
    <col min="5651" max="5651" width="24.5703125" customWidth="1"/>
    <col min="5652" max="5652" width="19.5703125" customWidth="1"/>
    <col min="5889" max="5889" width="10.140625" customWidth="1"/>
    <col min="5890" max="5890" width="82" customWidth="1"/>
    <col min="5891" max="5905" width="3.7109375" customWidth="1"/>
    <col min="5906" max="5906" width="4.7109375" customWidth="1"/>
    <col min="5907" max="5907" width="24.5703125" customWidth="1"/>
    <col min="5908" max="5908" width="19.5703125" customWidth="1"/>
    <col min="6145" max="6145" width="10.140625" customWidth="1"/>
    <col min="6146" max="6146" width="82" customWidth="1"/>
    <col min="6147" max="6161" width="3.7109375" customWidth="1"/>
    <col min="6162" max="6162" width="4.7109375" customWidth="1"/>
    <col min="6163" max="6163" width="24.5703125" customWidth="1"/>
    <col min="6164" max="6164" width="19.5703125" customWidth="1"/>
    <col min="6401" max="6401" width="10.140625" customWidth="1"/>
    <col min="6402" max="6402" width="82" customWidth="1"/>
    <col min="6403" max="6417" width="3.7109375" customWidth="1"/>
    <col min="6418" max="6418" width="4.7109375" customWidth="1"/>
    <col min="6419" max="6419" width="24.5703125" customWidth="1"/>
    <col min="6420" max="6420" width="19.5703125" customWidth="1"/>
    <col min="6657" max="6657" width="10.140625" customWidth="1"/>
    <col min="6658" max="6658" width="82" customWidth="1"/>
    <col min="6659" max="6673" width="3.7109375" customWidth="1"/>
    <col min="6674" max="6674" width="4.7109375" customWidth="1"/>
    <col min="6675" max="6675" width="24.5703125" customWidth="1"/>
    <col min="6676" max="6676" width="19.5703125" customWidth="1"/>
    <col min="6913" max="6913" width="10.140625" customWidth="1"/>
    <col min="6914" max="6914" width="82" customWidth="1"/>
    <col min="6915" max="6929" width="3.7109375" customWidth="1"/>
    <col min="6930" max="6930" width="4.7109375" customWidth="1"/>
    <col min="6931" max="6931" width="24.5703125" customWidth="1"/>
    <col min="6932" max="6932" width="19.5703125" customWidth="1"/>
    <col min="7169" max="7169" width="10.140625" customWidth="1"/>
    <col min="7170" max="7170" width="82" customWidth="1"/>
    <col min="7171" max="7185" width="3.7109375" customWidth="1"/>
    <col min="7186" max="7186" width="4.7109375" customWidth="1"/>
    <col min="7187" max="7187" width="24.5703125" customWidth="1"/>
    <col min="7188" max="7188" width="19.5703125" customWidth="1"/>
    <col min="7425" max="7425" width="10.140625" customWidth="1"/>
    <col min="7426" max="7426" width="82" customWidth="1"/>
    <col min="7427" max="7441" width="3.7109375" customWidth="1"/>
    <col min="7442" max="7442" width="4.7109375" customWidth="1"/>
    <col min="7443" max="7443" width="24.5703125" customWidth="1"/>
    <col min="7444" max="7444" width="19.5703125" customWidth="1"/>
    <col min="7681" max="7681" width="10.140625" customWidth="1"/>
    <col min="7682" max="7682" width="82" customWidth="1"/>
    <col min="7683" max="7697" width="3.7109375" customWidth="1"/>
    <col min="7698" max="7698" width="4.7109375" customWidth="1"/>
    <col min="7699" max="7699" width="24.5703125" customWidth="1"/>
    <col min="7700" max="7700" width="19.5703125" customWidth="1"/>
    <col min="7937" max="7937" width="10.140625" customWidth="1"/>
    <col min="7938" max="7938" width="82" customWidth="1"/>
    <col min="7939" max="7953" width="3.7109375" customWidth="1"/>
    <col min="7954" max="7954" width="4.7109375" customWidth="1"/>
    <col min="7955" max="7955" width="24.5703125" customWidth="1"/>
    <col min="7956" max="7956" width="19.5703125" customWidth="1"/>
    <col min="8193" max="8193" width="10.140625" customWidth="1"/>
    <col min="8194" max="8194" width="82" customWidth="1"/>
    <col min="8195" max="8209" width="3.7109375" customWidth="1"/>
    <col min="8210" max="8210" width="4.7109375" customWidth="1"/>
    <col min="8211" max="8211" width="24.5703125" customWidth="1"/>
    <col min="8212" max="8212" width="19.5703125" customWidth="1"/>
    <col min="8449" max="8449" width="10.140625" customWidth="1"/>
    <col min="8450" max="8450" width="82" customWidth="1"/>
    <col min="8451" max="8465" width="3.7109375" customWidth="1"/>
    <col min="8466" max="8466" width="4.7109375" customWidth="1"/>
    <col min="8467" max="8467" width="24.5703125" customWidth="1"/>
    <col min="8468" max="8468" width="19.5703125" customWidth="1"/>
    <col min="8705" max="8705" width="10.140625" customWidth="1"/>
    <col min="8706" max="8706" width="82" customWidth="1"/>
    <col min="8707" max="8721" width="3.7109375" customWidth="1"/>
    <col min="8722" max="8722" width="4.7109375" customWidth="1"/>
    <col min="8723" max="8723" width="24.5703125" customWidth="1"/>
    <col min="8724" max="8724" width="19.5703125" customWidth="1"/>
    <col min="8961" max="8961" width="10.140625" customWidth="1"/>
    <col min="8962" max="8962" width="82" customWidth="1"/>
    <col min="8963" max="8977" width="3.7109375" customWidth="1"/>
    <col min="8978" max="8978" width="4.7109375" customWidth="1"/>
    <col min="8979" max="8979" width="24.5703125" customWidth="1"/>
    <col min="8980" max="8980" width="19.5703125" customWidth="1"/>
    <col min="9217" max="9217" width="10.140625" customWidth="1"/>
    <col min="9218" max="9218" width="82" customWidth="1"/>
    <col min="9219" max="9233" width="3.7109375" customWidth="1"/>
    <col min="9234" max="9234" width="4.7109375" customWidth="1"/>
    <col min="9235" max="9235" width="24.5703125" customWidth="1"/>
    <col min="9236" max="9236" width="19.5703125" customWidth="1"/>
    <col min="9473" max="9473" width="10.140625" customWidth="1"/>
    <col min="9474" max="9474" width="82" customWidth="1"/>
    <col min="9475" max="9489" width="3.7109375" customWidth="1"/>
    <col min="9490" max="9490" width="4.7109375" customWidth="1"/>
    <col min="9491" max="9491" width="24.5703125" customWidth="1"/>
    <col min="9492" max="9492" width="19.5703125" customWidth="1"/>
    <col min="9729" max="9729" width="10.140625" customWidth="1"/>
    <col min="9730" max="9730" width="82" customWidth="1"/>
    <col min="9731" max="9745" width="3.7109375" customWidth="1"/>
    <col min="9746" max="9746" width="4.7109375" customWidth="1"/>
    <col min="9747" max="9747" width="24.5703125" customWidth="1"/>
    <col min="9748" max="9748" width="19.5703125" customWidth="1"/>
    <col min="9985" max="9985" width="10.140625" customWidth="1"/>
    <col min="9986" max="9986" width="82" customWidth="1"/>
    <col min="9987" max="10001" width="3.7109375" customWidth="1"/>
    <col min="10002" max="10002" width="4.7109375" customWidth="1"/>
    <col min="10003" max="10003" width="24.5703125" customWidth="1"/>
    <col min="10004" max="10004" width="19.5703125" customWidth="1"/>
    <col min="10241" max="10241" width="10.140625" customWidth="1"/>
    <col min="10242" max="10242" width="82" customWidth="1"/>
    <col min="10243" max="10257" width="3.7109375" customWidth="1"/>
    <col min="10258" max="10258" width="4.7109375" customWidth="1"/>
    <col min="10259" max="10259" width="24.5703125" customWidth="1"/>
    <col min="10260" max="10260" width="19.5703125" customWidth="1"/>
    <col min="10497" max="10497" width="10.140625" customWidth="1"/>
    <col min="10498" max="10498" width="82" customWidth="1"/>
    <col min="10499" max="10513" width="3.7109375" customWidth="1"/>
    <col min="10514" max="10514" width="4.7109375" customWidth="1"/>
    <col min="10515" max="10515" width="24.5703125" customWidth="1"/>
    <col min="10516" max="10516" width="19.5703125" customWidth="1"/>
    <col min="10753" max="10753" width="10.140625" customWidth="1"/>
    <col min="10754" max="10754" width="82" customWidth="1"/>
    <col min="10755" max="10769" width="3.7109375" customWidth="1"/>
    <col min="10770" max="10770" width="4.7109375" customWidth="1"/>
    <col min="10771" max="10771" width="24.5703125" customWidth="1"/>
    <col min="10772" max="10772" width="19.5703125" customWidth="1"/>
    <col min="11009" max="11009" width="10.140625" customWidth="1"/>
    <col min="11010" max="11010" width="82" customWidth="1"/>
    <col min="11011" max="11025" width="3.7109375" customWidth="1"/>
    <col min="11026" max="11026" width="4.7109375" customWidth="1"/>
    <col min="11027" max="11027" width="24.5703125" customWidth="1"/>
    <col min="11028" max="11028" width="19.5703125" customWidth="1"/>
    <col min="11265" max="11265" width="10.140625" customWidth="1"/>
    <col min="11266" max="11266" width="82" customWidth="1"/>
    <col min="11267" max="11281" width="3.7109375" customWidth="1"/>
    <col min="11282" max="11282" width="4.7109375" customWidth="1"/>
    <col min="11283" max="11283" width="24.5703125" customWidth="1"/>
    <col min="11284" max="11284" width="19.5703125" customWidth="1"/>
    <col min="11521" max="11521" width="10.140625" customWidth="1"/>
    <col min="11522" max="11522" width="82" customWidth="1"/>
    <col min="11523" max="11537" width="3.7109375" customWidth="1"/>
    <col min="11538" max="11538" width="4.7109375" customWidth="1"/>
    <col min="11539" max="11539" width="24.5703125" customWidth="1"/>
    <col min="11540" max="11540" width="19.5703125" customWidth="1"/>
    <col min="11777" max="11777" width="10.140625" customWidth="1"/>
    <col min="11778" max="11778" width="82" customWidth="1"/>
    <col min="11779" max="11793" width="3.7109375" customWidth="1"/>
    <col min="11794" max="11794" width="4.7109375" customWidth="1"/>
    <col min="11795" max="11795" width="24.5703125" customWidth="1"/>
    <col min="11796" max="11796" width="19.5703125" customWidth="1"/>
    <col min="12033" max="12033" width="10.140625" customWidth="1"/>
    <col min="12034" max="12034" width="82" customWidth="1"/>
    <col min="12035" max="12049" width="3.7109375" customWidth="1"/>
    <col min="12050" max="12050" width="4.7109375" customWidth="1"/>
    <col min="12051" max="12051" width="24.5703125" customWidth="1"/>
    <col min="12052" max="12052" width="19.5703125" customWidth="1"/>
    <col min="12289" max="12289" width="10.140625" customWidth="1"/>
    <col min="12290" max="12290" width="82" customWidth="1"/>
    <col min="12291" max="12305" width="3.7109375" customWidth="1"/>
    <col min="12306" max="12306" width="4.7109375" customWidth="1"/>
    <col min="12307" max="12307" width="24.5703125" customWidth="1"/>
    <col min="12308" max="12308" width="19.5703125" customWidth="1"/>
    <col min="12545" max="12545" width="10.140625" customWidth="1"/>
    <col min="12546" max="12546" width="82" customWidth="1"/>
    <col min="12547" max="12561" width="3.7109375" customWidth="1"/>
    <col min="12562" max="12562" width="4.7109375" customWidth="1"/>
    <col min="12563" max="12563" width="24.5703125" customWidth="1"/>
    <col min="12564" max="12564" width="19.5703125" customWidth="1"/>
    <col min="12801" max="12801" width="10.140625" customWidth="1"/>
    <col min="12802" max="12802" width="82" customWidth="1"/>
    <col min="12803" max="12817" width="3.7109375" customWidth="1"/>
    <col min="12818" max="12818" width="4.7109375" customWidth="1"/>
    <col min="12819" max="12819" width="24.5703125" customWidth="1"/>
    <col min="12820" max="12820" width="19.5703125" customWidth="1"/>
    <col min="13057" max="13057" width="10.140625" customWidth="1"/>
    <col min="13058" max="13058" width="82" customWidth="1"/>
    <col min="13059" max="13073" width="3.7109375" customWidth="1"/>
    <col min="13074" max="13074" width="4.7109375" customWidth="1"/>
    <col min="13075" max="13075" width="24.5703125" customWidth="1"/>
    <col min="13076" max="13076" width="19.5703125" customWidth="1"/>
    <col min="13313" max="13313" width="10.140625" customWidth="1"/>
    <col min="13314" max="13314" width="82" customWidth="1"/>
    <col min="13315" max="13329" width="3.7109375" customWidth="1"/>
    <col min="13330" max="13330" width="4.7109375" customWidth="1"/>
    <col min="13331" max="13331" width="24.5703125" customWidth="1"/>
    <col min="13332" max="13332" width="19.5703125" customWidth="1"/>
    <col min="13569" max="13569" width="10.140625" customWidth="1"/>
    <col min="13570" max="13570" width="82" customWidth="1"/>
    <col min="13571" max="13585" width="3.7109375" customWidth="1"/>
    <col min="13586" max="13586" width="4.7109375" customWidth="1"/>
    <col min="13587" max="13587" width="24.5703125" customWidth="1"/>
    <col min="13588" max="13588" width="19.5703125" customWidth="1"/>
    <col min="13825" max="13825" width="10.140625" customWidth="1"/>
    <col min="13826" max="13826" width="82" customWidth="1"/>
    <col min="13827" max="13841" width="3.7109375" customWidth="1"/>
    <col min="13842" max="13842" width="4.7109375" customWidth="1"/>
    <col min="13843" max="13843" width="24.5703125" customWidth="1"/>
    <col min="13844" max="13844" width="19.5703125" customWidth="1"/>
    <col min="14081" max="14081" width="10.140625" customWidth="1"/>
    <col min="14082" max="14082" width="82" customWidth="1"/>
    <col min="14083" max="14097" width="3.7109375" customWidth="1"/>
    <col min="14098" max="14098" width="4.7109375" customWidth="1"/>
    <col min="14099" max="14099" width="24.5703125" customWidth="1"/>
    <col min="14100" max="14100" width="19.5703125" customWidth="1"/>
    <col min="14337" max="14337" width="10.140625" customWidth="1"/>
    <col min="14338" max="14338" width="82" customWidth="1"/>
    <col min="14339" max="14353" width="3.7109375" customWidth="1"/>
    <col min="14354" max="14354" width="4.7109375" customWidth="1"/>
    <col min="14355" max="14355" width="24.5703125" customWidth="1"/>
    <col min="14356" max="14356" width="19.5703125" customWidth="1"/>
    <col min="14593" max="14593" width="10.140625" customWidth="1"/>
    <col min="14594" max="14594" width="82" customWidth="1"/>
    <col min="14595" max="14609" width="3.7109375" customWidth="1"/>
    <col min="14610" max="14610" width="4.7109375" customWidth="1"/>
    <col min="14611" max="14611" width="24.5703125" customWidth="1"/>
    <col min="14612" max="14612" width="19.5703125" customWidth="1"/>
    <col min="14849" max="14849" width="10.140625" customWidth="1"/>
    <col min="14850" max="14850" width="82" customWidth="1"/>
    <col min="14851" max="14865" width="3.7109375" customWidth="1"/>
    <col min="14866" max="14866" width="4.7109375" customWidth="1"/>
    <col min="14867" max="14867" width="24.5703125" customWidth="1"/>
    <col min="14868" max="14868" width="19.5703125" customWidth="1"/>
    <col min="15105" max="15105" width="10.140625" customWidth="1"/>
    <col min="15106" max="15106" width="82" customWidth="1"/>
    <col min="15107" max="15121" width="3.7109375" customWidth="1"/>
    <col min="15122" max="15122" width="4.7109375" customWidth="1"/>
    <col min="15123" max="15123" width="24.5703125" customWidth="1"/>
    <col min="15124" max="15124" width="19.5703125" customWidth="1"/>
    <col min="15361" max="15361" width="10.140625" customWidth="1"/>
    <col min="15362" max="15362" width="82" customWidth="1"/>
    <col min="15363" max="15377" width="3.7109375" customWidth="1"/>
    <col min="15378" max="15378" width="4.7109375" customWidth="1"/>
    <col min="15379" max="15379" width="24.5703125" customWidth="1"/>
    <col min="15380" max="15380" width="19.5703125" customWidth="1"/>
    <col min="15617" max="15617" width="10.140625" customWidth="1"/>
    <col min="15618" max="15618" width="82" customWidth="1"/>
    <col min="15619" max="15633" width="3.7109375" customWidth="1"/>
    <col min="15634" max="15634" width="4.7109375" customWidth="1"/>
    <col min="15635" max="15635" width="24.5703125" customWidth="1"/>
    <col min="15636" max="15636" width="19.5703125" customWidth="1"/>
    <col min="15873" max="15873" width="10.140625" customWidth="1"/>
    <col min="15874" max="15874" width="82" customWidth="1"/>
    <col min="15875" max="15889" width="3.7109375" customWidth="1"/>
    <col min="15890" max="15890" width="4.7109375" customWidth="1"/>
    <col min="15891" max="15891" width="24.5703125" customWidth="1"/>
    <col min="15892" max="15892" width="19.5703125" customWidth="1"/>
    <col min="16129" max="16129" width="10.140625" customWidth="1"/>
    <col min="16130" max="16130" width="82" customWidth="1"/>
    <col min="16131" max="16145" width="3.7109375" customWidth="1"/>
    <col min="16146" max="16146" width="4.7109375" customWidth="1"/>
    <col min="16147" max="16147" width="24.5703125" customWidth="1"/>
    <col min="16148" max="16148" width="19.5703125" customWidth="1"/>
  </cols>
  <sheetData>
    <row r="1" spans="1:21" s="88" customFormat="1" ht="3" customHeight="1">
      <c r="A1" s="91"/>
      <c r="B1" s="87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3"/>
      <c r="T1" s="94"/>
    </row>
    <row r="2" spans="1:21" s="66" customFormat="1" ht="27" customHeight="1">
      <c r="A2" s="314" t="s">
        <v>120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</row>
    <row r="3" spans="1:21" s="66" customFormat="1" ht="27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  <c r="T3" s="315"/>
    </row>
    <row r="4" spans="1:21" s="98" customFormat="1" ht="28.5" customHeight="1">
      <c r="A4" s="95" t="s">
        <v>116</v>
      </c>
      <c r="B4" s="95" t="s">
        <v>117</v>
      </c>
      <c r="C4" s="323" t="s">
        <v>121</v>
      </c>
      <c r="D4" s="323"/>
      <c r="E4" s="323"/>
      <c r="F4" s="323"/>
      <c r="G4" s="323" t="s">
        <v>122</v>
      </c>
      <c r="H4" s="323"/>
      <c r="I4" s="323"/>
      <c r="J4" s="323"/>
      <c r="K4" s="323" t="s">
        <v>123</v>
      </c>
      <c r="L4" s="323"/>
      <c r="M4" s="323"/>
      <c r="N4" s="323"/>
      <c r="O4" s="323" t="s">
        <v>124</v>
      </c>
      <c r="P4" s="323"/>
      <c r="Q4" s="323"/>
      <c r="R4" s="323"/>
      <c r="S4" s="96" t="s">
        <v>125</v>
      </c>
      <c r="T4" s="97" t="s">
        <v>118</v>
      </c>
    </row>
    <row r="5" spans="1:21" s="98" customFormat="1" ht="13.15" customHeight="1">
      <c r="A5" s="317">
        <v>1</v>
      </c>
      <c r="B5" s="318" t="s">
        <v>126</v>
      </c>
      <c r="C5" s="99" t="s">
        <v>127</v>
      </c>
      <c r="D5" s="99" t="s">
        <v>127</v>
      </c>
      <c r="E5" s="99" t="s">
        <v>127</v>
      </c>
      <c r="F5" s="99" t="s">
        <v>127</v>
      </c>
      <c r="G5" s="100" t="s">
        <v>127</v>
      </c>
      <c r="H5" s="100" t="s">
        <v>127</v>
      </c>
      <c r="I5" s="100" t="s">
        <v>127</v>
      </c>
      <c r="J5" s="100" t="s">
        <v>127</v>
      </c>
      <c r="K5" s="100" t="s">
        <v>127</v>
      </c>
      <c r="L5" s="100" t="s">
        <v>127</v>
      </c>
      <c r="M5" s="100" t="s">
        <v>127</v>
      </c>
      <c r="N5" s="100" t="s">
        <v>127</v>
      </c>
      <c r="O5" s="100"/>
      <c r="P5" s="100"/>
      <c r="Q5" s="100"/>
      <c r="R5" s="100"/>
      <c r="S5" s="101"/>
      <c r="T5" s="102"/>
    </row>
    <row r="6" spans="1:21" s="98" customFormat="1" ht="17.25" customHeight="1">
      <c r="A6" s="317"/>
      <c r="B6" s="318"/>
      <c r="C6" s="319">
        <f>SUM('RELAÇÃO DAS RUAS'!G3)</f>
        <v>432106.08228487329</v>
      </c>
      <c r="D6" s="320"/>
      <c r="E6" s="320"/>
      <c r="F6" s="320"/>
      <c r="G6" s="321"/>
      <c r="H6" s="322"/>
      <c r="I6" s="322"/>
      <c r="J6" s="322"/>
      <c r="K6" s="321"/>
      <c r="L6" s="322"/>
      <c r="M6" s="322"/>
      <c r="N6" s="322"/>
      <c r="O6" s="103"/>
      <c r="P6" s="103"/>
      <c r="Q6" s="103"/>
      <c r="R6" s="103"/>
      <c r="S6" s="101">
        <f>SUM(C6:N6)</f>
        <v>432106.08228487329</v>
      </c>
      <c r="T6" s="148" t="e">
        <f>(S6/S27)</f>
        <v>#REF!</v>
      </c>
      <c r="U6" s="104"/>
    </row>
    <row r="7" spans="1:21" s="98" customFormat="1" ht="13.7" hidden="1" customHeight="1">
      <c r="A7" s="108"/>
      <c r="B7" s="109"/>
      <c r="C7" s="110"/>
      <c r="D7" s="103"/>
      <c r="E7" s="103"/>
      <c r="F7" s="103"/>
      <c r="G7" s="110"/>
      <c r="H7" s="103"/>
      <c r="I7" s="103"/>
      <c r="J7" s="103"/>
      <c r="K7" s="110"/>
      <c r="L7" s="103"/>
      <c r="M7" s="103"/>
      <c r="N7" s="103"/>
      <c r="O7" s="103"/>
      <c r="P7" s="103"/>
      <c r="Q7" s="103"/>
      <c r="R7" s="103"/>
      <c r="S7" s="101"/>
      <c r="T7" s="148"/>
      <c r="U7" s="104"/>
    </row>
    <row r="8" spans="1:21" s="98" customFormat="1" ht="13.7" hidden="1" customHeight="1">
      <c r="A8" s="108"/>
      <c r="B8" s="109"/>
      <c r="C8" s="110"/>
      <c r="D8" s="103"/>
      <c r="E8" s="103"/>
      <c r="F8" s="103"/>
      <c r="G8" s="110"/>
      <c r="H8" s="103"/>
      <c r="I8" s="103"/>
      <c r="J8" s="103"/>
      <c r="K8" s="110"/>
      <c r="L8" s="103"/>
      <c r="M8" s="103"/>
      <c r="N8" s="103"/>
      <c r="O8" s="103"/>
      <c r="P8" s="103"/>
      <c r="Q8" s="103"/>
      <c r="R8" s="103"/>
      <c r="S8" s="101"/>
      <c r="T8" s="148"/>
      <c r="U8" s="104"/>
    </row>
    <row r="9" spans="1:21" s="98" customFormat="1" ht="13.7" hidden="1" customHeight="1">
      <c r="A9" s="108"/>
      <c r="B9" s="109"/>
      <c r="C9" s="110"/>
      <c r="D9" s="103"/>
      <c r="E9" s="103"/>
      <c r="F9" s="103"/>
      <c r="G9" s="110"/>
      <c r="H9" s="103"/>
      <c r="I9" s="103"/>
      <c r="J9" s="103"/>
      <c r="K9" s="110"/>
      <c r="L9" s="103"/>
      <c r="M9" s="103"/>
      <c r="N9" s="103"/>
      <c r="O9" s="103"/>
      <c r="P9" s="103"/>
      <c r="Q9" s="103"/>
      <c r="R9" s="103"/>
      <c r="S9" s="101"/>
      <c r="T9" s="148"/>
      <c r="U9" s="104"/>
    </row>
    <row r="10" spans="1:21" s="98" customFormat="1" ht="12.6" customHeight="1">
      <c r="A10" s="317">
        <v>2</v>
      </c>
      <c r="B10" s="318"/>
      <c r="C10" s="103" t="s">
        <v>127</v>
      </c>
      <c r="D10" s="103" t="s">
        <v>127</v>
      </c>
      <c r="E10" s="103" t="s">
        <v>127</v>
      </c>
      <c r="F10" s="103" t="s">
        <v>127</v>
      </c>
      <c r="G10" s="105" t="s">
        <v>127</v>
      </c>
      <c r="H10" s="105" t="s">
        <v>127</v>
      </c>
      <c r="I10" s="105" t="s">
        <v>127</v>
      </c>
      <c r="J10" s="105" t="s">
        <v>127</v>
      </c>
      <c r="K10" s="103" t="s">
        <v>127</v>
      </c>
      <c r="L10" s="103" t="s">
        <v>127</v>
      </c>
      <c r="M10" s="103" t="s">
        <v>127</v>
      </c>
      <c r="N10" s="103" t="s">
        <v>127</v>
      </c>
      <c r="O10" s="103"/>
      <c r="P10" s="103"/>
      <c r="Q10" s="103"/>
      <c r="R10" s="103"/>
      <c r="S10" s="101"/>
      <c r="T10" s="148"/>
    </row>
    <row r="11" spans="1:21" s="98" customFormat="1" ht="13.5" customHeight="1">
      <c r="A11" s="317"/>
      <c r="B11" s="318"/>
      <c r="C11" s="107"/>
      <c r="D11" s="107"/>
      <c r="E11" s="107"/>
      <c r="F11" s="107"/>
      <c r="G11" s="319" t="e">
        <f>SUM('RELAÇÃO DAS RUAS'!#REF!)</f>
        <v>#REF!</v>
      </c>
      <c r="H11" s="324"/>
      <c r="I11" s="324"/>
      <c r="J11" s="324"/>
      <c r="K11" s="321"/>
      <c r="L11" s="322"/>
      <c r="M11" s="322"/>
      <c r="N11" s="322"/>
      <c r="O11" s="103"/>
      <c r="P11" s="103"/>
      <c r="Q11" s="103"/>
      <c r="R11" s="103"/>
      <c r="S11" s="101" t="e">
        <f>SUM(G11:N11)</f>
        <v>#REF!</v>
      </c>
      <c r="T11" s="148" t="e">
        <f>(S11/S27)</f>
        <v>#REF!</v>
      </c>
      <c r="U11" s="104"/>
    </row>
    <row r="12" spans="1:21" s="98" customFormat="1" ht="13.15" customHeight="1">
      <c r="A12" s="317">
        <v>3</v>
      </c>
      <c r="B12" s="318"/>
      <c r="C12" s="103"/>
      <c r="D12" s="103"/>
      <c r="E12" s="103"/>
      <c r="F12" s="103"/>
      <c r="G12" s="105"/>
      <c r="H12" s="105"/>
      <c r="I12" s="105"/>
      <c r="J12" s="105"/>
      <c r="K12" s="103"/>
      <c r="L12" s="103"/>
      <c r="M12" s="103"/>
      <c r="N12" s="103"/>
      <c r="O12" s="103"/>
      <c r="P12" s="103"/>
      <c r="Q12" s="103"/>
      <c r="R12" s="103"/>
      <c r="S12" s="101"/>
      <c r="T12" s="148"/>
    </row>
    <row r="13" spans="1:21" s="98" customFormat="1" ht="12.75" customHeight="1">
      <c r="A13" s="317"/>
      <c r="B13" s="318"/>
      <c r="C13" s="107"/>
      <c r="D13" s="107"/>
      <c r="E13" s="107"/>
      <c r="F13" s="107"/>
      <c r="G13" s="319" t="e">
        <f>SUM('RELAÇÃO DAS RUAS'!#REF!)</f>
        <v>#REF!</v>
      </c>
      <c r="H13" s="320"/>
      <c r="I13" s="320"/>
      <c r="J13" s="320"/>
      <c r="K13" s="321"/>
      <c r="L13" s="325"/>
      <c r="M13" s="325"/>
      <c r="N13" s="325"/>
      <c r="O13" s="106"/>
      <c r="P13" s="106"/>
      <c r="Q13" s="106"/>
      <c r="R13" s="106"/>
      <c r="S13" s="101" t="e">
        <f>SUM(G13:N13)</f>
        <v>#REF!</v>
      </c>
      <c r="T13" s="148" t="e">
        <f>(S13/S27)</f>
        <v>#REF!</v>
      </c>
      <c r="U13" s="104"/>
    </row>
    <row r="14" spans="1:21" s="98" customFormat="1" ht="12" customHeight="1">
      <c r="A14" s="317">
        <v>4</v>
      </c>
      <c r="B14" s="318"/>
      <c r="C14" s="103" t="s">
        <v>127</v>
      </c>
      <c r="D14" s="103"/>
      <c r="E14" s="103"/>
      <c r="F14" s="103"/>
      <c r="G14" s="105"/>
      <c r="H14" s="105"/>
      <c r="I14" s="105"/>
      <c r="J14" s="105"/>
      <c r="K14" s="103"/>
      <c r="L14" s="103"/>
      <c r="M14" s="103"/>
      <c r="N14" s="103"/>
      <c r="O14" s="103"/>
      <c r="P14" s="103"/>
      <c r="Q14" s="103"/>
      <c r="R14" s="103"/>
      <c r="S14" s="101"/>
      <c r="T14" s="148"/>
    </row>
    <row r="15" spans="1:21" s="98" customFormat="1" ht="12.75" customHeight="1">
      <c r="A15" s="317"/>
      <c r="B15" s="318"/>
      <c r="C15" s="107"/>
      <c r="D15" s="107"/>
      <c r="E15" s="107"/>
      <c r="F15" s="107"/>
      <c r="G15" s="319" t="e">
        <f>SUM('RELAÇÃO DAS RUAS'!#REF!)</f>
        <v>#REF!</v>
      </c>
      <c r="H15" s="320"/>
      <c r="I15" s="320"/>
      <c r="J15" s="320"/>
      <c r="K15" s="321"/>
      <c r="L15" s="322"/>
      <c r="M15" s="322"/>
      <c r="N15" s="322"/>
      <c r="O15" s="103"/>
      <c r="P15" s="103"/>
      <c r="Q15" s="103"/>
      <c r="R15" s="103"/>
      <c r="S15" s="101" t="e">
        <f>SUM(G15:N15)</f>
        <v>#REF!</v>
      </c>
      <c r="T15" s="148" t="e">
        <f>(S15/S27)</f>
        <v>#REF!</v>
      </c>
      <c r="U15" s="104"/>
    </row>
    <row r="16" spans="1:21" s="98" customFormat="1" ht="12.75" customHeight="1">
      <c r="A16" s="317">
        <v>5</v>
      </c>
      <c r="B16" s="318"/>
      <c r="C16" s="107"/>
      <c r="D16" s="107"/>
      <c r="E16" s="107"/>
      <c r="F16" s="107"/>
      <c r="G16" s="105"/>
      <c r="H16" s="105"/>
      <c r="I16" s="105"/>
      <c r="J16" s="105"/>
      <c r="K16" s="110"/>
      <c r="L16" s="103"/>
      <c r="M16" s="103"/>
      <c r="N16" s="103"/>
      <c r="O16" s="103"/>
      <c r="P16" s="103"/>
      <c r="Q16" s="103"/>
      <c r="R16" s="103"/>
      <c r="S16" s="101"/>
      <c r="T16" s="148"/>
      <c r="U16" s="104"/>
    </row>
    <row r="17" spans="1:27" s="98" customFormat="1" ht="12.75" customHeight="1">
      <c r="A17" s="317"/>
      <c r="B17" s="318"/>
      <c r="C17" s="107"/>
      <c r="D17" s="107"/>
      <c r="E17" s="107"/>
      <c r="F17" s="107"/>
      <c r="G17" s="319" t="e">
        <f>SUM('RELAÇÃO DAS RUAS'!#REF!)</f>
        <v>#REF!</v>
      </c>
      <c r="H17" s="319"/>
      <c r="I17" s="319"/>
      <c r="J17" s="319"/>
      <c r="K17" s="110"/>
      <c r="L17" s="103"/>
      <c r="M17" s="103"/>
      <c r="N17" s="103"/>
      <c r="O17" s="103"/>
      <c r="P17" s="103"/>
      <c r="Q17" s="103"/>
      <c r="R17" s="103"/>
      <c r="S17" s="101" t="e">
        <f>G17</f>
        <v>#REF!</v>
      </c>
      <c r="T17" s="148" t="e">
        <f>(S17/S27)</f>
        <v>#REF!</v>
      </c>
      <c r="U17" s="104"/>
    </row>
    <row r="18" spans="1:27" s="98" customFormat="1" ht="12.6" customHeight="1">
      <c r="A18" s="317">
        <v>6</v>
      </c>
      <c r="B18" s="318"/>
      <c r="C18" s="103" t="s">
        <v>127</v>
      </c>
      <c r="D18" s="103" t="s">
        <v>127</v>
      </c>
      <c r="E18" s="103" t="s">
        <v>127</v>
      </c>
      <c r="F18" s="103" t="s">
        <v>127</v>
      </c>
      <c r="G18" s="105" t="s">
        <v>127</v>
      </c>
      <c r="H18" s="105" t="s">
        <v>127</v>
      </c>
      <c r="I18" s="105" t="s">
        <v>127</v>
      </c>
      <c r="J18" s="105" t="s">
        <v>127</v>
      </c>
      <c r="K18" s="146"/>
      <c r="L18" s="147"/>
      <c r="M18" s="147"/>
      <c r="N18" s="147"/>
      <c r="O18" s="100"/>
      <c r="P18" s="100"/>
      <c r="Q18" s="100"/>
      <c r="R18" s="100"/>
      <c r="S18" s="101"/>
      <c r="T18" s="148"/>
    </row>
    <row r="19" spans="1:27" s="98" customFormat="1" ht="13.5" customHeight="1">
      <c r="A19" s="317"/>
      <c r="B19" s="318"/>
      <c r="C19" s="107"/>
      <c r="D19" s="107"/>
      <c r="E19" s="107"/>
      <c r="F19" s="107"/>
      <c r="G19" s="319" t="e">
        <f>SUM('RELAÇÃO DAS RUAS'!#REF!)</f>
        <v>#REF!</v>
      </c>
      <c r="H19" s="324"/>
      <c r="I19" s="324"/>
      <c r="J19" s="324"/>
      <c r="K19" s="319"/>
      <c r="L19" s="324"/>
      <c r="M19" s="324"/>
      <c r="N19" s="324"/>
      <c r="O19" s="324"/>
      <c r="P19" s="324"/>
      <c r="Q19" s="324"/>
      <c r="R19" s="324"/>
      <c r="S19" s="101" t="e">
        <f>SUM(G19:N19)</f>
        <v>#REF!</v>
      </c>
      <c r="T19" s="148" t="e">
        <f>(S19/S27)</f>
        <v>#REF!</v>
      </c>
      <c r="U19" s="104"/>
    </row>
    <row r="20" spans="1:27" s="98" customFormat="1" ht="12.6" customHeight="1">
      <c r="A20" s="317">
        <v>7</v>
      </c>
      <c r="B20" s="318"/>
      <c r="C20" s="103" t="s">
        <v>127</v>
      </c>
      <c r="D20" s="103" t="s">
        <v>127</v>
      </c>
      <c r="E20" s="103" t="s">
        <v>127</v>
      </c>
      <c r="F20" s="103" t="s">
        <v>127</v>
      </c>
      <c r="G20" s="103" t="s">
        <v>127</v>
      </c>
      <c r="H20" s="103" t="s">
        <v>127</v>
      </c>
      <c r="I20" s="103" t="s">
        <v>127</v>
      </c>
      <c r="J20" s="103" t="s">
        <v>127</v>
      </c>
      <c r="K20" s="105" t="s">
        <v>127</v>
      </c>
      <c r="L20" s="105" t="s">
        <v>127</v>
      </c>
      <c r="M20" s="105" t="s">
        <v>127</v>
      </c>
      <c r="N20" s="105" t="s">
        <v>127</v>
      </c>
      <c r="O20" s="100"/>
      <c r="P20" s="100"/>
      <c r="Q20" s="100"/>
      <c r="R20" s="100"/>
      <c r="S20" s="101"/>
      <c r="T20" s="148"/>
    </row>
    <row r="21" spans="1:27" s="98" customFormat="1" ht="13.5" customHeight="1">
      <c r="A21" s="317"/>
      <c r="B21" s="318"/>
      <c r="C21" s="107"/>
      <c r="D21" s="107"/>
      <c r="E21" s="107"/>
      <c r="F21" s="107"/>
      <c r="G21" s="321"/>
      <c r="H21" s="322"/>
      <c r="I21" s="322"/>
      <c r="J21" s="322"/>
      <c r="K21" s="319" t="e">
        <f>SUM(#REF!)</f>
        <v>#REF!</v>
      </c>
      <c r="L21" s="324"/>
      <c r="M21" s="324"/>
      <c r="N21" s="324"/>
      <c r="O21" s="326"/>
      <c r="P21" s="326"/>
      <c r="Q21" s="326"/>
      <c r="R21" s="326"/>
      <c r="S21" s="101" t="e">
        <f>SUM(G21:N21)</f>
        <v>#REF!</v>
      </c>
      <c r="T21" s="148" t="e">
        <f>(S21/S27)</f>
        <v>#REF!</v>
      </c>
      <c r="U21" s="104"/>
    </row>
    <row r="22" spans="1:27" s="98" customFormat="1" ht="12.75" customHeight="1">
      <c r="A22" s="317">
        <v>8</v>
      </c>
      <c r="B22" s="318"/>
      <c r="C22" s="110"/>
      <c r="D22" s="103"/>
      <c r="E22" s="103"/>
      <c r="F22" s="103"/>
      <c r="G22" s="110"/>
      <c r="H22" s="103"/>
      <c r="I22" s="103"/>
      <c r="J22" s="103"/>
      <c r="K22" s="100"/>
      <c r="L22" s="100"/>
      <c r="M22" s="105"/>
      <c r="N22" s="105"/>
      <c r="O22" s="105"/>
      <c r="P22" s="105"/>
      <c r="Q22" s="100"/>
      <c r="R22" s="100"/>
      <c r="S22" s="100"/>
      <c r="T22" s="149"/>
      <c r="U22" s="111"/>
    </row>
    <row r="23" spans="1:27" s="98" customFormat="1" ht="12.75" customHeight="1">
      <c r="A23" s="317"/>
      <c r="B23" s="318"/>
      <c r="C23" s="107"/>
      <c r="D23" s="107"/>
      <c r="E23" s="107"/>
      <c r="F23" s="107"/>
      <c r="G23" s="110"/>
      <c r="H23" s="103"/>
      <c r="I23" s="103"/>
      <c r="J23" s="103"/>
      <c r="K23" s="327" t="e">
        <f>SUM('RELAÇÃO DAS RUAS'!#REF!)/2</f>
        <v>#REF!</v>
      </c>
      <c r="L23" s="327"/>
      <c r="M23" s="327"/>
      <c r="N23" s="327"/>
      <c r="O23" s="327" t="e">
        <f>SUM('RELAÇÃO DAS RUAS'!#REF!)/2</f>
        <v>#REF!</v>
      </c>
      <c r="P23" s="327"/>
      <c r="Q23" s="327"/>
      <c r="R23" s="327"/>
      <c r="S23" s="101" t="e">
        <f>O23</f>
        <v>#REF!</v>
      </c>
      <c r="T23" s="148" t="e">
        <f>(S23/S27)</f>
        <v>#REF!</v>
      </c>
      <c r="U23" s="104"/>
    </row>
    <row r="24" spans="1:27" s="98" customFormat="1" ht="12.75" customHeight="1">
      <c r="A24" s="317">
        <v>9</v>
      </c>
      <c r="B24" s="318"/>
      <c r="C24" s="110"/>
      <c r="D24" s="103"/>
      <c r="E24" s="103"/>
      <c r="F24" s="103"/>
      <c r="G24" s="110"/>
      <c r="H24" s="103"/>
      <c r="I24" s="103"/>
      <c r="J24" s="103"/>
      <c r="K24" s="100"/>
      <c r="L24" s="100"/>
      <c r="M24" s="100"/>
      <c r="N24" s="100"/>
      <c r="O24" s="105"/>
      <c r="P24" s="105"/>
      <c r="Q24" s="105"/>
      <c r="R24" s="105"/>
      <c r="S24" s="101"/>
      <c r="T24" s="148"/>
      <c r="U24" s="104"/>
    </row>
    <row r="25" spans="1:27" s="98" customFormat="1" ht="12.75" customHeight="1">
      <c r="A25" s="317"/>
      <c r="B25" s="318"/>
      <c r="C25" s="107"/>
      <c r="D25" s="107"/>
      <c r="E25" s="107"/>
      <c r="F25" s="107"/>
      <c r="G25" s="110"/>
      <c r="H25" s="103"/>
      <c r="I25" s="103"/>
      <c r="J25" s="103"/>
      <c r="K25" s="327"/>
      <c r="L25" s="327"/>
      <c r="M25" s="327"/>
      <c r="N25" s="327"/>
      <c r="O25" s="327" t="e">
        <f>SUM('RELAÇÃO DAS RUAS'!#REF!)</f>
        <v>#REF!</v>
      </c>
      <c r="P25" s="327"/>
      <c r="Q25" s="327"/>
      <c r="R25" s="327"/>
      <c r="S25" s="101" t="e">
        <f>O25</f>
        <v>#REF!</v>
      </c>
      <c r="T25" s="148" t="e">
        <f>(S25/S27)</f>
        <v>#REF!</v>
      </c>
      <c r="U25" s="104"/>
    </row>
    <row r="26" spans="1:27" s="115" customFormat="1" ht="18" customHeight="1">
      <c r="A26" s="112" t="s">
        <v>127</v>
      </c>
      <c r="B26" s="113" t="s">
        <v>128</v>
      </c>
      <c r="C26" s="319">
        <f>SUM(C6:F21)</f>
        <v>432106.08228487329</v>
      </c>
      <c r="D26" s="319"/>
      <c r="E26" s="319"/>
      <c r="F26" s="319"/>
      <c r="G26" s="319" t="e">
        <f>SUM(G5:J25)</f>
        <v>#REF!</v>
      </c>
      <c r="H26" s="319"/>
      <c r="I26" s="319"/>
      <c r="J26" s="319"/>
      <c r="K26" s="319" t="e">
        <f>SUM(K5:N25)</f>
        <v>#REF!</v>
      </c>
      <c r="L26" s="319"/>
      <c r="M26" s="319"/>
      <c r="N26" s="319"/>
      <c r="O26" s="319" t="e">
        <f>SUM(O5:R25)</f>
        <v>#REF!</v>
      </c>
      <c r="P26" s="319"/>
      <c r="Q26" s="319"/>
      <c r="R26" s="319"/>
      <c r="S26" s="101" t="e">
        <f>SUM(C26:R26)</f>
        <v>#REF!</v>
      </c>
      <c r="T26" s="148" t="e">
        <f>(S26/S27)</f>
        <v>#REF!</v>
      </c>
      <c r="U26" s="114"/>
    </row>
    <row r="27" spans="1:27" s="88" customFormat="1" ht="19.5" customHeight="1">
      <c r="A27" s="112"/>
      <c r="B27" s="113" t="s">
        <v>129</v>
      </c>
      <c r="C27" s="329" t="e">
        <f>C26/S27</f>
        <v>#REF!</v>
      </c>
      <c r="D27" s="329"/>
      <c r="E27" s="329"/>
      <c r="F27" s="329"/>
      <c r="G27" s="329" t="e">
        <f>G26/S27</f>
        <v>#REF!</v>
      </c>
      <c r="H27" s="329"/>
      <c r="I27" s="329"/>
      <c r="J27" s="329"/>
      <c r="K27" s="329" t="e">
        <f>K26/S27</f>
        <v>#REF!</v>
      </c>
      <c r="L27" s="329"/>
      <c r="M27" s="329"/>
      <c r="N27" s="329"/>
      <c r="O27" s="329" t="e">
        <f>O26/S27</f>
        <v>#REF!</v>
      </c>
      <c r="P27" s="329"/>
      <c r="Q27" s="329"/>
      <c r="R27" s="329"/>
      <c r="S27" s="116" t="e">
        <f>S26</f>
        <v>#REF!</v>
      </c>
      <c r="T27" s="148" t="e">
        <f>SUM(T6:T25)</f>
        <v>#REF!</v>
      </c>
      <c r="U27" s="117"/>
    </row>
    <row r="28" spans="1:27" s="88" customFormat="1" ht="15" customHeight="1">
      <c r="A28" s="118" t="s">
        <v>93</v>
      </c>
      <c r="B28" s="119"/>
      <c r="C28" s="120"/>
      <c r="D28" s="121"/>
      <c r="E28" s="121"/>
      <c r="F28" s="121"/>
      <c r="G28" s="120"/>
      <c r="H28" s="121"/>
      <c r="I28" s="121"/>
      <c r="J28" s="121"/>
      <c r="K28" s="120"/>
      <c r="L28" s="121"/>
      <c r="M28" s="121"/>
      <c r="N28" s="121"/>
      <c r="O28" s="121"/>
      <c r="P28" s="121"/>
      <c r="Q28" s="121"/>
      <c r="R28" s="121"/>
      <c r="S28" s="328"/>
      <c r="T28" s="328"/>
      <c r="U28" s="117"/>
    </row>
    <row r="29" spans="1:27" s="88" customFormat="1" ht="15" customHeight="1">
      <c r="A29" s="122"/>
      <c r="B29" s="122"/>
      <c r="C29" s="122"/>
      <c r="D29" s="122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2"/>
      <c r="P29" s="122"/>
      <c r="Q29" s="122"/>
      <c r="R29" s="122"/>
      <c r="S29" s="124"/>
      <c r="T29" s="124"/>
      <c r="U29" s="120"/>
      <c r="V29" s="121"/>
      <c r="W29" s="121"/>
      <c r="X29" s="121"/>
      <c r="Y29" s="121"/>
      <c r="Z29" s="121"/>
      <c r="AA29" s="121"/>
    </row>
    <row r="30" spans="1:27" s="88" customFormat="1" ht="15" customHeight="1">
      <c r="A30" s="122"/>
      <c r="B30" s="122"/>
      <c r="C30" s="122"/>
      <c r="D30" s="122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2"/>
      <c r="P30" s="122"/>
      <c r="Q30" s="122"/>
      <c r="R30" s="122"/>
      <c r="S30" s="313" t="s">
        <v>119</v>
      </c>
      <c r="T30" s="313"/>
      <c r="U30" s="120"/>
      <c r="V30" s="121"/>
      <c r="W30" s="121"/>
      <c r="X30" s="121"/>
      <c r="Y30" s="121"/>
      <c r="Z30" s="121"/>
      <c r="AA30" s="121"/>
    </row>
    <row r="31" spans="1:27" s="88" customFormat="1" ht="15" customHeight="1">
      <c r="A31" s="122"/>
      <c r="B31" s="122"/>
      <c r="C31" s="122"/>
      <c r="D31" s="122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2"/>
      <c r="P31" s="122"/>
      <c r="Q31" s="122"/>
      <c r="R31" s="122"/>
      <c r="S31" s="124"/>
      <c r="T31" s="124"/>
      <c r="U31" s="120"/>
      <c r="V31" s="121"/>
      <c r="W31" s="121"/>
      <c r="X31" s="121"/>
      <c r="Y31" s="121"/>
      <c r="Z31" s="121"/>
      <c r="AA31" s="121"/>
    </row>
    <row r="32" spans="1:27" s="88" customFormat="1" ht="15" customHeight="1">
      <c r="A32" s="316" t="s">
        <v>130</v>
      </c>
      <c r="B32" s="316"/>
      <c r="C32" s="316"/>
      <c r="D32" s="316"/>
      <c r="E32" s="316"/>
      <c r="F32" s="316"/>
      <c r="G32" s="316"/>
      <c r="H32" s="316"/>
      <c r="I32" s="316"/>
      <c r="J32" s="316"/>
      <c r="K32" s="316"/>
      <c r="L32" s="316"/>
      <c r="M32" s="316"/>
      <c r="N32" s="316"/>
      <c r="O32" s="316"/>
      <c r="P32" s="316"/>
      <c r="Q32" s="316"/>
      <c r="R32" s="316"/>
      <c r="S32" s="124"/>
      <c r="T32" s="124"/>
      <c r="U32" s="120"/>
      <c r="V32" s="121"/>
      <c r="W32" s="121"/>
      <c r="X32" s="121"/>
      <c r="Y32" s="121"/>
      <c r="Z32" s="121"/>
      <c r="AA32" s="121"/>
    </row>
    <row r="33" spans="1:27" s="88" customFormat="1" ht="15" customHeight="1">
      <c r="A33" s="312" t="s">
        <v>113</v>
      </c>
      <c r="B33" s="312"/>
      <c r="C33" s="312"/>
      <c r="D33" s="312"/>
      <c r="E33" s="312"/>
      <c r="F33" s="312"/>
      <c r="G33" s="312"/>
      <c r="H33" s="312"/>
      <c r="I33" s="123"/>
      <c r="J33" s="123"/>
      <c r="K33" s="123"/>
      <c r="L33" s="123"/>
      <c r="M33" s="123"/>
      <c r="N33" s="123"/>
      <c r="O33" s="122"/>
      <c r="P33" s="122"/>
      <c r="Q33" s="122"/>
      <c r="R33" s="122"/>
      <c r="S33" s="124"/>
      <c r="T33" s="124"/>
      <c r="U33" s="120"/>
      <c r="V33" s="121"/>
      <c r="W33" s="121"/>
      <c r="X33" s="121"/>
      <c r="Y33" s="121"/>
      <c r="Z33" s="121"/>
      <c r="AA33" s="121"/>
    </row>
    <row r="34" spans="1:27" s="88" customFormat="1" ht="15" customHeight="1">
      <c r="A34" s="122"/>
      <c r="B34" s="122"/>
      <c r="C34" s="122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2"/>
      <c r="P34" s="122"/>
      <c r="Q34" s="122"/>
      <c r="R34" s="122"/>
      <c r="S34" s="124"/>
      <c r="T34" s="124"/>
      <c r="U34" s="120"/>
      <c r="V34" s="121"/>
      <c r="W34" s="121"/>
      <c r="X34" s="121"/>
      <c r="Y34" s="121"/>
      <c r="Z34" s="121"/>
      <c r="AA34" s="121"/>
    </row>
    <row r="35" spans="1:27" s="88" customFormat="1" ht="15" customHeight="1">
      <c r="A35" s="122"/>
      <c r="B35" s="122"/>
      <c r="C35" s="122"/>
      <c r="D35" s="122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2"/>
      <c r="P35" s="122"/>
      <c r="Q35" s="122"/>
      <c r="R35" s="122"/>
      <c r="S35" s="124"/>
      <c r="T35" s="124"/>
      <c r="U35" s="120"/>
      <c r="V35" s="121"/>
      <c r="W35" s="121"/>
      <c r="X35" s="121"/>
      <c r="Y35" s="121"/>
      <c r="Z35" s="121"/>
      <c r="AA35" s="121"/>
    </row>
    <row r="36" spans="1:27" s="88" customFormat="1" ht="15" customHeight="1">
      <c r="A36" s="122"/>
      <c r="B36" s="122"/>
      <c r="C36" s="122"/>
      <c r="D36" s="122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2"/>
      <c r="P36" s="122"/>
      <c r="Q36" s="122"/>
      <c r="R36" s="122"/>
      <c r="S36" s="124"/>
      <c r="T36" s="124"/>
      <c r="U36" s="120"/>
      <c r="V36" s="121"/>
      <c r="W36" s="121"/>
      <c r="X36" s="121"/>
      <c r="Y36" s="121"/>
      <c r="Z36" s="121"/>
      <c r="AA36" s="121"/>
    </row>
    <row r="37" spans="1:27" s="88" customFormat="1" ht="15" customHeight="1">
      <c r="A37" s="122"/>
      <c r="B37" s="122"/>
      <c r="C37" s="122"/>
      <c r="D37" s="122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2"/>
      <c r="P37" s="122"/>
      <c r="Q37" s="122"/>
      <c r="R37" s="122"/>
      <c r="S37" s="124"/>
      <c r="T37" s="124"/>
      <c r="U37" s="120"/>
      <c r="V37" s="121"/>
      <c r="W37" s="121"/>
      <c r="X37" s="121"/>
      <c r="Y37" s="121"/>
      <c r="Z37" s="121"/>
      <c r="AA37" s="121"/>
    </row>
    <row r="38" spans="1:27" s="88" customFormat="1" ht="15" customHeight="1">
      <c r="A38" s="151"/>
      <c r="B38" s="151"/>
      <c r="C38" s="151"/>
      <c r="D38" s="151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1"/>
      <c r="P38" s="151"/>
      <c r="Q38" s="151"/>
      <c r="R38" s="151"/>
      <c r="S38" s="153"/>
      <c r="T38" s="153"/>
      <c r="U38" s="120"/>
      <c r="V38" s="121"/>
      <c r="W38" s="121"/>
      <c r="X38" s="121"/>
      <c r="Y38" s="121"/>
      <c r="Z38" s="121"/>
      <c r="AA38" s="121"/>
    </row>
    <row r="39" spans="1:27" s="88" customFormat="1" ht="15" customHeight="1">
      <c r="A39" s="151" t="s">
        <v>95</v>
      </c>
      <c r="B39" s="154"/>
      <c r="C39" s="154"/>
      <c r="D39" s="155"/>
      <c r="E39" s="152"/>
      <c r="F39" s="152"/>
      <c r="G39" s="152"/>
      <c r="H39" s="152"/>
      <c r="I39" s="152"/>
      <c r="J39" s="152"/>
      <c r="K39" s="152"/>
      <c r="L39" s="152"/>
      <c r="U39" s="126"/>
      <c r="V39" s="127"/>
      <c r="W39" s="127"/>
      <c r="X39" s="127"/>
      <c r="Y39" s="127"/>
      <c r="Z39" s="127"/>
      <c r="AA39" s="127"/>
    </row>
    <row r="40" spans="1:27" s="88" customFormat="1" ht="15" customHeight="1">
      <c r="A40" s="150" t="s">
        <v>96</v>
      </c>
      <c r="B40" s="125"/>
      <c r="C40" s="125"/>
      <c r="D40" s="125"/>
      <c r="E40" s="123"/>
      <c r="F40" s="123"/>
      <c r="G40" s="123"/>
      <c r="H40" s="123"/>
      <c r="I40" s="123"/>
      <c r="J40" s="123"/>
      <c r="K40" s="123"/>
      <c r="L40" s="123"/>
      <c r="U40" s="126"/>
      <c r="V40" s="127"/>
      <c r="W40" s="127"/>
      <c r="X40" s="127"/>
      <c r="Y40" s="127"/>
      <c r="Z40" s="127"/>
      <c r="AA40" s="127"/>
    </row>
    <row r="41" spans="1:27" s="88" customFormat="1">
      <c r="A41" s="129"/>
      <c r="B41" s="130"/>
      <c r="C41" s="131"/>
      <c r="D41" s="128"/>
      <c r="E41" s="128"/>
      <c r="F41" s="128"/>
      <c r="G41" s="131"/>
      <c r="H41" s="128"/>
      <c r="I41" s="128"/>
      <c r="J41" s="128"/>
      <c r="K41" s="131"/>
      <c r="L41" s="128"/>
      <c r="M41" s="128"/>
      <c r="N41" s="128"/>
      <c r="O41" s="128"/>
      <c r="P41" s="128"/>
      <c r="Q41" s="128"/>
      <c r="R41" s="128"/>
      <c r="S41" s="132"/>
      <c r="T41" s="133"/>
    </row>
    <row r="42" spans="1:27" s="88" customFormat="1" ht="15.75" hidden="1" customHeight="1">
      <c r="A42" s="129"/>
      <c r="B42" s="130"/>
      <c r="C42" s="131"/>
      <c r="D42" s="128"/>
      <c r="E42" s="128"/>
      <c r="F42" s="128"/>
      <c r="G42" s="131"/>
      <c r="H42" s="128"/>
      <c r="I42" s="128"/>
      <c r="J42" s="128"/>
      <c r="K42" s="131"/>
      <c r="L42" s="128"/>
      <c r="M42" s="128"/>
      <c r="N42" s="128"/>
      <c r="O42" s="128"/>
      <c r="P42" s="128"/>
      <c r="Q42" s="128"/>
      <c r="R42" s="128"/>
      <c r="S42" s="132"/>
      <c r="T42" s="133"/>
    </row>
    <row r="43" spans="1:27" s="88" customFormat="1" ht="15.75" hidden="1" customHeight="1">
      <c r="A43" s="129"/>
      <c r="B43" s="130"/>
      <c r="C43" s="131"/>
      <c r="D43" s="128"/>
      <c r="E43" s="128"/>
      <c r="F43" s="128"/>
      <c r="G43" s="131"/>
      <c r="H43" s="128"/>
      <c r="I43" s="128"/>
      <c r="J43" s="128"/>
      <c r="K43" s="131"/>
      <c r="L43" s="128"/>
      <c r="M43" s="128"/>
      <c r="N43" s="128"/>
      <c r="O43" s="128"/>
      <c r="P43" s="128"/>
      <c r="Q43" s="128"/>
      <c r="R43" s="128"/>
      <c r="S43" s="132"/>
      <c r="T43" s="133"/>
    </row>
    <row r="44" spans="1:27" s="88" customFormat="1" ht="15.75" hidden="1" customHeight="1">
      <c r="A44" s="129"/>
      <c r="B44" s="130"/>
      <c r="C44" s="131"/>
      <c r="D44" s="128"/>
      <c r="E44" s="128"/>
      <c r="F44" s="128"/>
      <c r="G44" s="131"/>
      <c r="H44" s="128"/>
      <c r="I44" s="128"/>
      <c r="J44" s="128"/>
      <c r="K44" s="131"/>
      <c r="L44" s="128"/>
      <c r="M44" s="128"/>
      <c r="N44" s="128"/>
      <c r="O44" s="128"/>
      <c r="P44" s="128"/>
      <c r="Q44" s="128"/>
      <c r="R44" s="128"/>
      <c r="S44" s="132"/>
      <c r="T44" s="133"/>
    </row>
    <row r="45" spans="1:27" s="88" customFormat="1" ht="15.75" hidden="1" customHeight="1">
      <c r="A45" s="129"/>
      <c r="B45" s="130"/>
      <c r="C45" s="131"/>
      <c r="D45" s="128"/>
      <c r="E45" s="128"/>
      <c r="F45" s="128"/>
      <c r="G45" s="131"/>
      <c r="H45" s="128"/>
      <c r="I45" s="128"/>
      <c r="J45" s="128"/>
      <c r="K45" s="131"/>
      <c r="L45" s="128"/>
      <c r="M45" s="128"/>
      <c r="N45" s="128"/>
      <c r="O45" s="128"/>
      <c r="P45" s="128"/>
      <c r="Q45" s="128"/>
      <c r="R45" s="128"/>
      <c r="S45" s="132"/>
      <c r="T45" s="133"/>
    </row>
    <row r="46" spans="1:27" s="88" customFormat="1" ht="15" hidden="1" customHeight="1">
      <c r="A46" s="129"/>
      <c r="B46" s="130"/>
      <c r="C46" s="131"/>
      <c r="D46" s="128"/>
      <c r="E46" s="128"/>
      <c r="F46" s="128"/>
      <c r="G46" s="131"/>
      <c r="H46" s="128"/>
      <c r="I46" s="128"/>
      <c r="J46" s="128"/>
      <c r="K46" s="131"/>
      <c r="L46" s="128"/>
      <c r="M46" s="128"/>
      <c r="N46" s="128"/>
      <c r="O46" s="128"/>
      <c r="P46" s="128"/>
      <c r="Q46" s="128"/>
      <c r="R46" s="128"/>
      <c r="S46" s="132"/>
      <c r="T46" s="133"/>
    </row>
    <row r="47" spans="1:27" s="88" customFormat="1" ht="15" hidden="1" customHeight="1">
      <c r="A47" s="129"/>
      <c r="B47" s="130"/>
      <c r="C47" s="131"/>
      <c r="D47" s="128"/>
      <c r="E47" s="128"/>
      <c r="F47" s="128"/>
      <c r="G47" s="131"/>
      <c r="H47" s="128"/>
      <c r="I47" s="128"/>
      <c r="J47" s="128"/>
      <c r="K47" s="131"/>
      <c r="L47" s="128"/>
      <c r="M47" s="128"/>
      <c r="N47" s="128"/>
      <c r="O47" s="128"/>
      <c r="P47" s="128"/>
      <c r="Q47" s="128"/>
      <c r="R47" s="128"/>
      <c r="S47" s="132"/>
      <c r="T47" s="133"/>
    </row>
    <row r="48" spans="1:27" s="88" customFormat="1" ht="15" hidden="1" customHeight="1">
      <c r="A48" s="129"/>
      <c r="B48" s="130"/>
      <c r="C48" s="131"/>
      <c r="D48" s="128"/>
      <c r="E48" s="128"/>
      <c r="F48" s="128"/>
      <c r="G48" s="131"/>
      <c r="H48" s="128"/>
      <c r="I48" s="128"/>
      <c r="J48" s="128"/>
      <c r="K48" s="131"/>
      <c r="L48" s="128"/>
      <c r="M48" s="128"/>
      <c r="N48" s="128"/>
      <c r="O48" s="128"/>
      <c r="P48" s="128"/>
      <c r="Q48" s="128"/>
      <c r="R48" s="128"/>
      <c r="S48" s="132"/>
      <c r="T48" s="133"/>
    </row>
    <row r="49" spans="1:20" s="137" customFormat="1" ht="14.25">
      <c r="A49" s="134"/>
      <c r="B49" s="135"/>
      <c r="C49" s="135"/>
      <c r="D49" s="135"/>
      <c r="E49" s="135"/>
      <c r="F49" s="135"/>
      <c r="G49" s="135"/>
      <c r="H49" s="135"/>
      <c r="I49" s="136"/>
      <c r="J49" s="136"/>
      <c r="K49" s="135"/>
      <c r="L49" s="135"/>
      <c r="M49" s="136"/>
      <c r="N49" s="136"/>
      <c r="O49" s="136"/>
      <c r="P49" s="136"/>
      <c r="Q49" s="136"/>
      <c r="R49" s="136"/>
      <c r="S49" s="136"/>
      <c r="T49" s="136"/>
    </row>
    <row r="50" spans="1:20">
      <c r="H50" s="311"/>
      <c r="I50" s="311"/>
      <c r="J50" s="311"/>
    </row>
  </sheetData>
  <mergeCells count="56">
    <mergeCell ref="S28:T28"/>
    <mergeCell ref="C26:F26"/>
    <mergeCell ref="G26:J26"/>
    <mergeCell ref="K26:N26"/>
    <mergeCell ref="O26:R26"/>
    <mergeCell ref="C27:F27"/>
    <mergeCell ref="G27:J27"/>
    <mergeCell ref="K27:N27"/>
    <mergeCell ref="O27:R27"/>
    <mergeCell ref="A22:A23"/>
    <mergeCell ref="B22:B23"/>
    <mergeCell ref="K23:N23"/>
    <mergeCell ref="O23:R23"/>
    <mergeCell ref="A24:A25"/>
    <mergeCell ref="B24:B25"/>
    <mergeCell ref="K25:N25"/>
    <mergeCell ref="O25:R25"/>
    <mergeCell ref="A20:A21"/>
    <mergeCell ref="B20:B21"/>
    <mergeCell ref="G21:J21"/>
    <mergeCell ref="K21:N21"/>
    <mergeCell ref="O21:R21"/>
    <mergeCell ref="A18:A19"/>
    <mergeCell ref="B18:B19"/>
    <mergeCell ref="G19:J19"/>
    <mergeCell ref="K19:N19"/>
    <mergeCell ref="O19:R19"/>
    <mergeCell ref="A14:A15"/>
    <mergeCell ref="B14:B15"/>
    <mergeCell ref="G15:J15"/>
    <mergeCell ref="K15:N15"/>
    <mergeCell ref="A16:A17"/>
    <mergeCell ref="B16:B17"/>
    <mergeCell ref="G17:J17"/>
    <mergeCell ref="G11:J11"/>
    <mergeCell ref="K11:N11"/>
    <mergeCell ref="A12:A13"/>
    <mergeCell ref="B12:B13"/>
    <mergeCell ref="G13:J13"/>
    <mergeCell ref="K13:N13"/>
    <mergeCell ref="H50:J50"/>
    <mergeCell ref="A33:H33"/>
    <mergeCell ref="S30:T30"/>
    <mergeCell ref="A2:T3"/>
    <mergeCell ref="A32:R32"/>
    <mergeCell ref="A5:A6"/>
    <mergeCell ref="B5:B6"/>
    <mergeCell ref="C6:F6"/>
    <mergeCell ref="G6:J6"/>
    <mergeCell ref="K6:N6"/>
    <mergeCell ref="C4:F4"/>
    <mergeCell ref="G4:J4"/>
    <mergeCell ref="K4:N4"/>
    <mergeCell ref="O4:R4"/>
    <mergeCell ref="A10:A11"/>
    <mergeCell ref="B10:B11"/>
  </mergeCells>
  <pageMargins left="0.51181102362204722" right="0.51181102362204722" top="1.0629921259842521" bottom="0.78740157480314965" header="0.31496062992125984" footer="0.31496062992125984"/>
  <pageSetup paperSize="9" scale="86" orientation="landscape" r:id="rId1"/>
  <headerFooter>
    <oddHeader>&amp;C&amp;G</oddHeader>
    <oddFooter>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opLeftCell="A7" zoomScaleSheetLayoutView="100" workbookViewId="0">
      <selection activeCell="F38" sqref="F38"/>
    </sheetView>
  </sheetViews>
  <sheetFormatPr defaultRowHeight="15"/>
  <cols>
    <col min="1" max="1" width="9.85546875" customWidth="1"/>
    <col min="2" max="2" width="17.42578125" customWidth="1"/>
    <col min="3" max="3" width="12.140625" customWidth="1"/>
    <col min="4" max="4" width="86" customWidth="1"/>
    <col min="5" max="5" width="7.28515625" customWidth="1"/>
    <col min="6" max="6" width="13" customWidth="1"/>
    <col min="7" max="7" width="9.42578125" bestFit="1" customWidth="1"/>
    <col min="8" max="8" width="15.140625" customWidth="1"/>
    <col min="9" max="9" width="14.85546875" customWidth="1"/>
    <col min="10" max="11" width="13.28515625" customWidth="1"/>
    <col min="12" max="12" width="13.28515625" bestFit="1" customWidth="1"/>
  </cols>
  <sheetData>
    <row r="1" spans="1:11" ht="24.75" customHeight="1">
      <c r="A1" s="338" t="s">
        <v>0</v>
      </c>
      <c r="B1" s="338"/>
      <c r="C1" s="338"/>
      <c r="D1" s="338"/>
      <c r="E1" s="338"/>
      <c r="F1" s="338"/>
      <c r="G1" s="338"/>
      <c r="H1" s="338"/>
      <c r="I1" s="338"/>
      <c r="J1" s="338"/>
    </row>
    <row r="2" spans="1:11" ht="24.75" customHeight="1" thickBot="1">
      <c r="A2" s="47"/>
      <c r="B2" s="47"/>
      <c r="C2" s="47"/>
      <c r="D2" s="47"/>
      <c r="E2" s="47"/>
      <c r="F2" s="47"/>
      <c r="G2" s="47"/>
      <c r="H2" s="47"/>
      <c r="I2" s="47"/>
      <c r="J2" s="47"/>
    </row>
    <row r="3" spans="1:11" ht="18.75" customHeight="1" thickBot="1">
      <c r="A3" s="55" t="s">
        <v>1</v>
      </c>
      <c r="B3" s="339" t="s">
        <v>2</v>
      </c>
      <c r="C3" s="339"/>
      <c r="D3" s="339"/>
      <c r="E3" s="339"/>
      <c r="F3" s="339"/>
      <c r="G3" s="339"/>
      <c r="H3" s="339"/>
      <c r="I3" s="339"/>
      <c r="J3" s="339"/>
    </row>
    <row r="4" spans="1:11" ht="24" customHeight="1" thickBot="1">
      <c r="A4" s="55" t="s">
        <v>3</v>
      </c>
      <c r="B4" s="339" t="s">
        <v>4</v>
      </c>
      <c r="C4" s="339"/>
      <c r="D4" s="339"/>
      <c r="E4" s="339"/>
      <c r="F4" s="339"/>
      <c r="G4" s="339"/>
      <c r="H4" s="339"/>
      <c r="I4" s="339"/>
      <c r="J4" s="339"/>
    </row>
    <row r="5" spans="1:11" ht="32.25" thickBot="1">
      <c r="A5" s="340" t="s">
        <v>5</v>
      </c>
      <c r="B5" s="340" t="s">
        <v>6</v>
      </c>
      <c r="C5" s="340" t="s">
        <v>7</v>
      </c>
      <c r="D5" s="340" t="s">
        <v>8</v>
      </c>
      <c r="E5" s="341" t="s">
        <v>9</v>
      </c>
      <c r="F5" s="341" t="s">
        <v>10</v>
      </c>
      <c r="G5" s="56" t="s">
        <v>11</v>
      </c>
      <c r="H5" s="56" t="s">
        <v>12</v>
      </c>
      <c r="I5" s="56" t="s">
        <v>13</v>
      </c>
      <c r="J5" s="57" t="s">
        <v>14</v>
      </c>
    </row>
    <row r="6" spans="1:11" ht="19.5" customHeight="1" thickBot="1">
      <c r="A6" s="340"/>
      <c r="B6" s="340"/>
      <c r="C6" s="340"/>
      <c r="D6" s="340"/>
      <c r="E6" s="341"/>
      <c r="F6" s="341"/>
      <c r="G6" s="56" t="s">
        <v>15</v>
      </c>
      <c r="H6" s="56" t="s">
        <v>16</v>
      </c>
      <c r="I6" s="56" t="s">
        <v>15</v>
      </c>
      <c r="J6" s="57"/>
    </row>
    <row r="7" spans="1:11" ht="19.5" customHeight="1">
      <c r="A7" s="197">
        <v>1</v>
      </c>
      <c r="B7" s="197"/>
      <c r="C7" s="197">
        <v>1</v>
      </c>
      <c r="D7" s="198" t="s">
        <v>17</v>
      </c>
      <c r="E7" s="199"/>
      <c r="F7" s="199"/>
      <c r="G7" s="199"/>
      <c r="H7" s="199"/>
      <c r="I7" s="201"/>
      <c r="J7" s="200"/>
    </row>
    <row r="8" spans="1:11" ht="29.25" customHeight="1">
      <c r="A8" s="8" t="s">
        <v>18</v>
      </c>
      <c r="B8" s="7" t="s">
        <v>173</v>
      </c>
      <c r="C8" s="8" t="s">
        <v>20</v>
      </c>
      <c r="D8" s="17" t="s">
        <v>21</v>
      </c>
      <c r="E8" s="7" t="s">
        <v>22</v>
      </c>
      <c r="F8" s="9">
        <v>6.4</v>
      </c>
      <c r="G8" s="14">
        <v>396.9</v>
      </c>
      <c r="H8" s="10">
        <f>SUM(G8*1.2403)</f>
        <v>492.27506999999997</v>
      </c>
      <c r="I8" s="202">
        <f>SUM(H8*F8)</f>
        <v>3150.5604480000002</v>
      </c>
      <c r="J8" s="9"/>
    </row>
    <row r="9" spans="1:11" ht="15.75">
      <c r="A9" s="330" t="s">
        <v>38</v>
      </c>
      <c r="B9" s="330"/>
      <c r="C9" s="330"/>
      <c r="D9" s="330"/>
      <c r="E9" s="26"/>
      <c r="F9" s="12"/>
      <c r="G9" s="12"/>
      <c r="H9" s="13"/>
      <c r="I9" s="203">
        <f>SUM(I8)</f>
        <v>3150.5604480000002</v>
      </c>
      <c r="J9" s="42">
        <f>I9/I45</f>
        <v>7.2911735732591231E-3</v>
      </c>
    </row>
    <row r="10" spans="1:11" ht="18" customHeight="1">
      <c r="A10" s="194">
        <v>2</v>
      </c>
      <c r="B10" s="195"/>
      <c r="C10" s="194">
        <v>2</v>
      </c>
      <c r="D10" s="195" t="s">
        <v>182</v>
      </c>
      <c r="E10" s="7"/>
      <c r="F10" s="9"/>
      <c r="G10" s="9"/>
      <c r="H10" s="10"/>
      <c r="I10" s="204"/>
      <c r="J10" s="41"/>
    </row>
    <row r="11" spans="1:11" ht="33" customHeight="1">
      <c r="A11" s="7" t="s">
        <v>41</v>
      </c>
      <c r="B11" s="7" t="s">
        <v>173</v>
      </c>
      <c r="C11" s="7">
        <v>7011</v>
      </c>
      <c r="D11" s="25" t="s">
        <v>62</v>
      </c>
      <c r="E11" s="7" t="s">
        <v>63</v>
      </c>
      <c r="F11" s="9">
        <v>2031.16</v>
      </c>
      <c r="G11" s="16">
        <v>5.15</v>
      </c>
      <c r="H11" s="10">
        <f t="shared" ref="H11:H12" si="0">SUM(G11*1.2403)</f>
        <v>6.3875450000000003</v>
      </c>
      <c r="I11" s="202">
        <f>SUM(H11*F11)</f>
        <v>12974.125902200001</v>
      </c>
      <c r="J11" s="41"/>
      <c r="K11" s="61"/>
    </row>
    <row r="12" spans="1:11" ht="34.5" customHeight="1">
      <c r="A12" s="7" t="s">
        <v>43</v>
      </c>
      <c r="B12" s="7" t="s">
        <v>173</v>
      </c>
      <c r="C12" s="7" t="s">
        <v>65</v>
      </c>
      <c r="D12" s="25" t="s">
        <v>66</v>
      </c>
      <c r="E12" s="7" t="s">
        <v>63</v>
      </c>
      <c r="F12" s="9">
        <v>2031.16</v>
      </c>
      <c r="G12" s="16">
        <v>27.11</v>
      </c>
      <c r="H12" s="10">
        <f t="shared" si="0"/>
        <v>33.624533</v>
      </c>
      <c r="I12" s="202">
        <f>SUM(H12*F12)</f>
        <v>68296.806448279996</v>
      </c>
      <c r="J12" s="41"/>
    </row>
    <row r="13" spans="1:11" ht="15.75">
      <c r="A13" s="330" t="s">
        <v>38</v>
      </c>
      <c r="B13" s="330"/>
      <c r="C13" s="330"/>
      <c r="D13" s="330"/>
      <c r="E13" s="26"/>
      <c r="F13" s="12"/>
      <c r="G13" s="12"/>
      <c r="H13" s="13"/>
      <c r="I13" s="203">
        <f>SUM(I11:I12)</f>
        <v>81270.932350479998</v>
      </c>
      <c r="J13" s="42">
        <f>I13/I45</f>
        <v>0.18808097289614348</v>
      </c>
    </row>
    <row r="14" spans="1:11" ht="18" customHeight="1">
      <c r="A14" s="194">
        <v>3</v>
      </c>
      <c r="B14" s="195"/>
      <c r="C14" s="194">
        <v>3</v>
      </c>
      <c r="D14" s="195" t="s">
        <v>183</v>
      </c>
      <c r="E14" s="194"/>
      <c r="F14" s="9"/>
      <c r="G14" s="9"/>
      <c r="H14" s="196"/>
      <c r="I14" s="204"/>
      <c r="J14" s="41"/>
    </row>
    <row r="15" spans="1:11" ht="30">
      <c r="A15" s="8" t="s">
        <v>61</v>
      </c>
      <c r="B15" s="7" t="s">
        <v>174</v>
      </c>
      <c r="C15" s="190" t="s">
        <v>176</v>
      </c>
      <c r="D15" s="23" t="s">
        <v>42</v>
      </c>
      <c r="E15" s="8" t="s">
        <v>22</v>
      </c>
      <c r="F15" s="14">
        <v>4953.22</v>
      </c>
      <c r="G15" s="16">
        <v>13.58</v>
      </c>
      <c r="H15" s="10">
        <f t="shared" ref="H15:H17" si="1">SUM(G15*1.2403)</f>
        <v>16.843274000000001</v>
      </c>
      <c r="I15" s="202">
        <f>SUM(H15*F15)</f>
        <v>83428.441642280013</v>
      </c>
      <c r="J15" s="44"/>
    </row>
    <row r="16" spans="1:11" ht="30">
      <c r="A16" s="8" t="s">
        <v>64</v>
      </c>
      <c r="B16" s="7" t="s">
        <v>173</v>
      </c>
      <c r="C16" s="7">
        <v>72961</v>
      </c>
      <c r="D16" s="17" t="s">
        <v>44</v>
      </c>
      <c r="E16" s="7" t="s">
        <v>22</v>
      </c>
      <c r="F16" s="14">
        <f>F15</f>
        <v>4953.22</v>
      </c>
      <c r="G16" s="31">
        <v>1.1299999999999999</v>
      </c>
      <c r="H16" s="10">
        <f t="shared" si="1"/>
        <v>1.4015389999999999</v>
      </c>
      <c r="I16" s="202">
        <f>SUM(H16*F16)</f>
        <v>6942.1310055799995</v>
      </c>
      <c r="J16" s="45"/>
    </row>
    <row r="17" spans="1:11" ht="30">
      <c r="A17" s="8" t="s">
        <v>195</v>
      </c>
      <c r="B17" s="7" t="s">
        <v>173</v>
      </c>
      <c r="C17" s="7">
        <v>72843</v>
      </c>
      <c r="D17" s="17" t="s">
        <v>58</v>
      </c>
      <c r="E17" s="7" t="s">
        <v>59</v>
      </c>
      <c r="F17" s="9">
        <f>(F15*0.4*1.8)*2.5</f>
        <v>8915.7960000000021</v>
      </c>
      <c r="G17" s="16">
        <v>0.55000000000000004</v>
      </c>
      <c r="H17" s="10">
        <f t="shared" si="1"/>
        <v>0.68216500000000002</v>
      </c>
      <c r="I17" s="202">
        <f>SUM(H17*F17)</f>
        <v>6082.0439783400016</v>
      </c>
      <c r="J17" s="41"/>
      <c r="K17" s="61"/>
    </row>
    <row r="18" spans="1:11" ht="15.75">
      <c r="A18" s="330" t="s">
        <v>38</v>
      </c>
      <c r="B18" s="330"/>
      <c r="C18" s="330"/>
      <c r="D18" s="330"/>
      <c r="E18" s="26"/>
      <c r="F18" s="12"/>
      <c r="G18" s="12"/>
      <c r="H18" s="13"/>
      <c r="I18" s="203">
        <f>SUM(I15:I17)</f>
        <v>96452.616626200019</v>
      </c>
      <c r="J18" s="42">
        <f>I18/I45</f>
        <v>0.22321513299739204</v>
      </c>
    </row>
    <row r="19" spans="1:11" ht="16.5" customHeight="1">
      <c r="A19" s="194">
        <v>4</v>
      </c>
      <c r="B19" s="195"/>
      <c r="C19" s="194">
        <v>4</v>
      </c>
      <c r="D19" s="195" t="s">
        <v>45</v>
      </c>
      <c r="E19" s="194"/>
      <c r="F19" s="9"/>
      <c r="G19" s="9"/>
      <c r="H19" s="196"/>
      <c r="I19" s="204"/>
      <c r="J19" s="41"/>
    </row>
    <row r="20" spans="1:11" ht="30">
      <c r="A20" s="8" t="s">
        <v>68</v>
      </c>
      <c r="B20" s="7" t="s">
        <v>173</v>
      </c>
      <c r="C20" s="7">
        <v>73710</v>
      </c>
      <c r="D20" s="17" t="s">
        <v>47</v>
      </c>
      <c r="E20" s="7" t="s">
        <v>26</v>
      </c>
      <c r="F20" s="14">
        <v>1003.94</v>
      </c>
      <c r="G20" s="16">
        <v>89.92</v>
      </c>
      <c r="H20" s="10">
        <f t="shared" ref="H20" si="2">SUM(G20*1.2403)</f>
        <v>111.527776</v>
      </c>
      <c r="I20" s="202">
        <f t="shared" ref="I20" si="3">SUM(H20*F20)</f>
        <v>111967.19543744001</v>
      </c>
      <c r="J20" s="44"/>
      <c r="K20" s="61"/>
    </row>
    <row r="21" spans="1:11" ht="15.75">
      <c r="A21" s="8" t="s">
        <v>70</v>
      </c>
      <c r="B21" s="7" t="s">
        <v>173</v>
      </c>
      <c r="C21" s="7">
        <v>72945</v>
      </c>
      <c r="D21" s="23" t="s">
        <v>51</v>
      </c>
      <c r="E21" s="7" t="s">
        <v>22</v>
      </c>
      <c r="F21" s="14">
        <f>F15</f>
        <v>4953.22</v>
      </c>
      <c r="G21" s="16">
        <v>3.76</v>
      </c>
      <c r="H21" s="10">
        <f>SUM(G21*1.2403)</f>
        <v>4.6635279999999995</v>
      </c>
      <c r="I21" s="202">
        <f>SUM(H21*F21)</f>
        <v>23099.480160159997</v>
      </c>
      <c r="J21" s="41"/>
      <c r="K21" s="61"/>
    </row>
    <row r="22" spans="1:11" ht="15.75">
      <c r="A22" s="330" t="s">
        <v>38</v>
      </c>
      <c r="B22" s="330"/>
      <c r="C22" s="330"/>
      <c r="D22" s="330"/>
      <c r="E22" s="26"/>
      <c r="F22" s="12"/>
      <c r="G22" s="12"/>
      <c r="H22" s="13"/>
      <c r="I22" s="203">
        <f>SUM(I20:I21)</f>
        <v>135066.6755976</v>
      </c>
      <c r="J22" s="42">
        <f>I22/I45</f>
        <v>0.31257758484536902</v>
      </c>
    </row>
    <row r="23" spans="1:11" ht="16.5" customHeight="1">
      <c r="A23" s="194">
        <v>5</v>
      </c>
      <c r="B23" s="195"/>
      <c r="C23" s="194">
        <v>5</v>
      </c>
      <c r="D23" s="195" t="s">
        <v>39</v>
      </c>
      <c r="E23" s="194"/>
      <c r="F23" s="9"/>
      <c r="G23" s="9"/>
      <c r="H23" s="196"/>
      <c r="I23" s="204"/>
      <c r="J23" s="41"/>
    </row>
    <row r="24" spans="1:11" ht="25.5" customHeight="1">
      <c r="A24" s="8" t="s">
        <v>76</v>
      </c>
      <c r="B24" s="7" t="s">
        <v>173</v>
      </c>
      <c r="C24" s="7">
        <v>72942</v>
      </c>
      <c r="D24" s="23" t="s">
        <v>53</v>
      </c>
      <c r="E24" s="7" t="s">
        <v>22</v>
      </c>
      <c r="F24" s="14">
        <f>F15</f>
        <v>4953.22</v>
      </c>
      <c r="G24" s="16">
        <v>1.1000000000000001</v>
      </c>
      <c r="H24" s="10">
        <f t="shared" ref="H24:H26" si="4">SUM(G24*1.2403)</f>
        <v>1.36433</v>
      </c>
      <c r="I24" s="202">
        <f>SUM(H24*F24)</f>
        <v>6757.8266426000009</v>
      </c>
      <c r="J24" s="41"/>
    </row>
    <row r="25" spans="1:11" ht="45">
      <c r="A25" s="8" t="s">
        <v>79</v>
      </c>
      <c r="B25" s="7" t="s">
        <v>173</v>
      </c>
      <c r="C25" s="49">
        <v>72965</v>
      </c>
      <c r="D25" s="23" t="s">
        <v>55</v>
      </c>
      <c r="E25" s="7" t="s">
        <v>56</v>
      </c>
      <c r="F25" s="14">
        <f>F24*0.03*2.4</f>
        <v>356.63183999999995</v>
      </c>
      <c r="G25" s="16">
        <v>177.44</v>
      </c>
      <c r="H25" s="10">
        <f t="shared" si="4"/>
        <v>220.07883199999998</v>
      </c>
      <c r="I25" s="202">
        <f>SUM(H25*F25)</f>
        <v>78487.118801210861</v>
      </c>
      <c r="J25" s="41"/>
      <c r="K25" s="61"/>
    </row>
    <row r="26" spans="1:11" ht="30">
      <c r="A26" s="8" t="s">
        <v>81</v>
      </c>
      <c r="B26" s="7" t="s">
        <v>173</v>
      </c>
      <c r="C26" s="7">
        <v>72843</v>
      </c>
      <c r="D26" s="17" t="s">
        <v>58</v>
      </c>
      <c r="E26" s="7" t="s">
        <v>59</v>
      </c>
      <c r="F26" s="9">
        <f>F25*30</f>
        <v>10698.955199999999</v>
      </c>
      <c r="G26" s="16">
        <v>0.55000000000000004</v>
      </c>
      <c r="H26" s="10">
        <f t="shared" si="4"/>
        <v>0.68216500000000002</v>
      </c>
      <c r="I26" s="202">
        <f>SUM(H26*F26)</f>
        <v>7298.4527740079993</v>
      </c>
      <c r="J26" s="41"/>
      <c r="K26" s="61"/>
    </row>
    <row r="27" spans="1:11" ht="30">
      <c r="A27" s="8" t="s">
        <v>84</v>
      </c>
      <c r="B27" s="7" t="s">
        <v>173</v>
      </c>
      <c r="C27" s="7">
        <v>72891</v>
      </c>
      <c r="D27" s="17" t="s">
        <v>49</v>
      </c>
      <c r="E27" s="7" t="s">
        <v>26</v>
      </c>
      <c r="F27" s="9">
        <f>F24*0.03</f>
        <v>148.5966</v>
      </c>
      <c r="G27" s="16">
        <v>4.28</v>
      </c>
      <c r="H27" s="10">
        <f>SUM(G27*1.2403)</f>
        <v>5.308484</v>
      </c>
      <c r="I27" s="202">
        <f>SUM(H27*F27)</f>
        <v>788.82267355440001</v>
      </c>
      <c r="J27" s="41"/>
      <c r="K27" s="61"/>
    </row>
    <row r="28" spans="1:11" ht="15.75">
      <c r="A28" s="330" t="s">
        <v>38</v>
      </c>
      <c r="B28" s="330"/>
      <c r="C28" s="330"/>
      <c r="D28" s="330"/>
      <c r="E28" s="26"/>
      <c r="F28" s="12"/>
      <c r="G28" s="12"/>
      <c r="H28" s="13"/>
      <c r="I28" s="203">
        <f>SUM(I24:I27)</f>
        <v>93332.220891373261</v>
      </c>
      <c r="J28" s="42">
        <f>I28/I45</f>
        <v>0.21599376800681644</v>
      </c>
    </row>
    <row r="29" spans="1:11" ht="18.75" customHeight="1">
      <c r="A29" s="194">
        <v>6</v>
      </c>
      <c r="B29" s="195"/>
      <c r="C29" s="194">
        <v>6</v>
      </c>
      <c r="D29" s="195" t="s">
        <v>190</v>
      </c>
      <c r="E29" s="194"/>
      <c r="F29" s="9"/>
      <c r="G29" s="9"/>
      <c r="H29" s="196"/>
      <c r="I29" s="204"/>
      <c r="J29" s="41"/>
    </row>
    <row r="30" spans="1:11">
      <c r="A30" s="7" t="s">
        <v>184</v>
      </c>
      <c r="B30" s="7" t="s">
        <v>173</v>
      </c>
      <c r="C30" s="7" t="s">
        <v>77</v>
      </c>
      <c r="D30" s="17" t="s">
        <v>78</v>
      </c>
      <c r="E30" s="7" t="s">
        <v>22</v>
      </c>
      <c r="F30" s="9">
        <v>0</v>
      </c>
      <c r="G30" s="14">
        <v>3.58</v>
      </c>
      <c r="H30" s="10">
        <f t="shared" ref="H30:H35" si="5">SUM(G30*1.2403)</f>
        <v>4.4402739999999996</v>
      </c>
      <c r="I30" s="202">
        <f t="shared" ref="I30:I35" si="6">SUM(H30*F30)</f>
        <v>0</v>
      </c>
      <c r="J30" s="9"/>
      <c r="K30" s="61"/>
    </row>
    <row r="31" spans="1:11" ht="30">
      <c r="A31" s="7" t="s">
        <v>185</v>
      </c>
      <c r="B31" s="7" t="s">
        <v>173</v>
      </c>
      <c r="C31" s="7">
        <v>5622</v>
      </c>
      <c r="D31" s="17" t="s">
        <v>80</v>
      </c>
      <c r="E31" s="7" t="s">
        <v>22</v>
      </c>
      <c r="F31" s="9">
        <v>0</v>
      </c>
      <c r="G31" s="14">
        <v>4.72</v>
      </c>
      <c r="H31" s="10">
        <f t="shared" si="5"/>
        <v>5.8542159999999992</v>
      </c>
      <c r="I31" s="202">
        <f t="shared" si="6"/>
        <v>0</v>
      </c>
      <c r="J31" s="9"/>
      <c r="K31" s="61"/>
    </row>
    <row r="32" spans="1:11" ht="27" customHeight="1">
      <c r="A32" s="7" t="s">
        <v>186</v>
      </c>
      <c r="B32" s="7" t="s">
        <v>173</v>
      </c>
      <c r="C32" s="7" t="s">
        <v>82</v>
      </c>
      <c r="D32" s="17" t="s">
        <v>83</v>
      </c>
      <c r="E32" s="7" t="s">
        <v>26</v>
      </c>
      <c r="F32" s="9">
        <v>0</v>
      </c>
      <c r="G32" s="14">
        <v>83.24</v>
      </c>
      <c r="H32" s="10">
        <f t="shared" si="5"/>
        <v>103.242572</v>
      </c>
      <c r="I32" s="202">
        <f t="shared" si="6"/>
        <v>0</v>
      </c>
      <c r="J32" s="9"/>
      <c r="K32" s="61"/>
    </row>
    <row r="33" spans="1:11" ht="64.5" customHeight="1">
      <c r="A33" s="7" t="s">
        <v>187</v>
      </c>
      <c r="B33" s="7" t="s">
        <v>173</v>
      </c>
      <c r="C33" s="7" t="s">
        <v>85</v>
      </c>
      <c r="D33" s="65" t="s">
        <v>100</v>
      </c>
      <c r="E33" s="7" t="s">
        <v>22</v>
      </c>
      <c r="F33" s="9">
        <v>16.32</v>
      </c>
      <c r="G33" s="14">
        <v>33.92</v>
      </c>
      <c r="H33" s="10">
        <f t="shared" si="5"/>
        <v>42.070976000000002</v>
      </c>
      <c r="I33" s="202">
        <f t="shared" si="6"/>
        <v>686.59832832000006</v>
      </c>
      <c r="J33" s="9"/>
      <c r="K33" s="61"/>
    </row>
    <row r="34" spans="1:11" ht="24" customHeight="1">
      <c r="A34" s="7" t="s">
        <v>188</v>
      </c>
      <c r="B34" s="7" t="s">
        <v>173</v>
      </c>
      <c r="C34" s="7" t="s">
        <v>87</v>
      </c>
      <c r="D34" s="17" t="s">
        <v>88</v>
      </c>
      <c r="E34" s="7" t="s">
        <v>22</v>
      </c>
      <c r="F34" s="9">
        <v>16.32</v>
      </c>
      <c r="G34" s="14">
        <v>11.5</v>
      </c>
      <c r="H34" s="10">
        <f t="shared" si="5"/>
        <v>14.263449999999999</v>
      </c>
      <c r="I34" s="202">
        <f t="shared" si="6"/>
        <v>232.77950399999997</v>
      </c>
      <c r="J34" s="9"/>
      <c r="K34" s="61"/>
    </row>
    <row r="35" spans="1:11" ht="24.75" customHeight="1">
      <c r="A35" s="7" t="s">
        <v>189</v>
      </c>
      <c r="B35" s="7" t="s">
        <v>173</v>
      </c>
      <c r="C35" s="7">
        <v>85180</v>
      </c>
      <c r="D35" s="17" t="s">
        <v>90</v>
      </c>
      <c r="E35" s="7" t="s">
        <v>22</v>
      </c>
      <c r="F35" s="9">
        <v>0</v>
      </c>
      <c r="G35" s="14">
        <v>7.42</v>
      </c>
      <c r="H35" s="10">
        <f t="shared" si="5"/>
        <v>9.2030259999999995</v>
      </c>
      <c r="I35" s="202">
        <f t="shared" si="6"/>
        <v>0</v>
      </c>
      <c r="J35" s="9"/>
      <c r="K35" s="61"/>
    </row>
    <row r="36" spans="1:11" ht="15.75">
      <c r="A36" s="330" t="s">
        <v>38</v>
      </c>
      <c r="B36" s="330"/>
      <c r="C36" s="330"/>
      <c r="D36" s="330"/>
      <c r="E36" s="26"/>
      <c r="F36" s="12"/>
      <c r="G36" s="12"/>
      <c r="H36" s="13"/>
      <c r="I36" s="203">
        <f>SUM(I30:I35)</f>
        <v>919.37783232000004</v>
      </c>
      <c r="J36" s="42">
        <f>I36/I45</f>
        <v>2.1276669549721463E-3</v>
      </c>
    </row>
    <row r="37" spans="1:11" ht="19.5" customHeight="1">
      <c r="A37" s="194">
        <v>7</v>
      </c>
      <c r="B37" s="195"/>
      <c r="C37" s="194">
        <v>7</v>
      </c>
      <c r="D37" s="195" t="s">
        <v>191</v>
      </c>
      <c r="E37" s="194"/>
      <c r="F37" s="9"/>
      <c r="G37" s="9"/>
      <c r="H37" s="196"/>
      <c r="I37" s="204"/>
      <c r="J37" s="41"/>
    </row>
    <row r="38" spans="1:11" ht="30">
      <c r="A38" s="7" t="s">
        <v>192</v>
      </c>
      <c r="B38" s="7" t="s">
        <v>173</v>
      </c>
      <c r="C38" s="7">
        <v>72947</v>
      </c>
      <c r="D38" s="17" t="s">
        <v>69</v>
      </c>
      <c r="E38" s="7" t="s">
        <v>22</v>
      </c>
      <c r="F38" s="9">
        <v>338</v>
      </c>
      <c r="G38" s="14">
        <v>18.73</v>
      </c>
      <c r="H38" s="10">
        <f t="shared" ref="H38:H40" si="7">SUM(G38*1.2403)</f>
        <v>23.230819</v>
      </c>
      <c r="I38" s="202">
        <f>SUM(H38*F38)</f>
        <v>7852.0168220000005</v>
      </c>
      <c r="J38" s="9"/>
      <c r="K38" s="61"/>
    </row>
    <row r="39" spans="1:11" ht="30">
      <c r="A39" s="7" t="s">
        <v>193</v>
      </c>
      <c r="B39" s="7" t="s">
        <v>173</v>
      </c>
      <c r="C39" s="7" t="s">
        <v>71</v>
      </c>
      <c r="D39" s="17" t="s">
        <v>72</v>
      </c>
      <c r="E39" s="7" t="s">
        <v>9</v>
      </c>
      <c r="F39" s="9">
        <v>2</v>
      </c>
      <c r="G39" s="14">
        <v>114.65</v>
      </c>
      <c r="H39" s="10">
        <f t="shared" si="7"/>
        <v>142.20039500000001</v>
      </c>
      <c r="I39" s="202">
        <f>SUM(H39*F39)</f>
        <v>284.40079000000003</v>
      </c>
      <c r="J39" s="9"/>
      <c r="K39" s="61"/>
    </row>
    <row r="40" spans="1:11" ht="30">
      <c r="A40" s="7" t="s">
        <v>194</v>
      </c>
      <c r="B40" s="7" t="s">
        <v>173</v>
      </c>
      <c r="C40" s="7" t="s">
        <v>71</v>
      </c>
      <c r="D40" s="17" t="s">
        <v>74</v>
      </c>
      <c r="E40" s="7" t="s">
        <v>9</v>
      </c>
      <c r="F40" s="9">
        <v>4</v>
      </c>
      <c r="G40" s="14">
        <v>114.65</v>
      </c>
      <c r="H40" s="10">
        <f t="shared" si="7"/>
        <v>142.20039500000001</v>
      </c>
      <c r="I40" s="202">
        <f>SUM(H40*F40)</f>
        <v>568.80158000000006</v>
      </c>
      <c r="J40" s="9"/>
      <c r="K40" s="61"/>
    </row>
    <row r="41" spans="1:11" ht="22.5" customHeight="1">
      <c r="A41" s="330" t="s">
        <v>38</v>
      </c>
      <c r="B41" s="330"/>
      <c r="C41" s="330"/>
      <c r="D41" s="330"/>
      <c r="E41" s="26"/>
      <c r="F41" s="12"/>
      <c r="G41" s="12"/>
      <c r="H41" s="13"/>
      <c r="I41" s="203">
        <f>SUM(I38:I40)</f>
        <v>8705.2191920000005</v>
      </c>
      <c r="J41" s="42">
        <f>I41/I45</f>
        <v>2.0146023277360248E-2</v>
      </c>
    </row>
    <row r="42" spans="1:11" ht="19.5" customHeight="1">
      <c r="A42" s="194">
        <v>8</v>
      </c>
      <c r="B42" s="195"/>
      <c r="C42" s="194">
        <v>8</v>
      </c>
      <c r="D42" s="195" t="s">
        <v>196</v>
      </c>
      <c r="E42" s="194"/>
      <c r="F42" s="9"/>
      <c r="G42" s="9"/>
      <c r="H42" s="196"/>
      <c r="I42" s="204"/>
      <c r="J42" s="41"/>
    </row>
    <row r="43" spans="1:11" ht="25.5" customHeight="1">
      <c r="A43" s="7" t="s">
        <v>91</v>
      </c>
      <c r="B43" s="7" t="s">
        <v>173</v>
      </c>
      <c r="C43" s="7">
        <v>9537</v>
      </c>
      <c r="D43" s="17" t="s">
        <v>92</v>
      </c>
      <c r="E43" s="7" t="s">
        <v>22</v>
      </c>
      <c r="F43" s="9">
        <f>F15</f>
        <v>4953.22</v>
      </c>
      <c r="G43" s="14">
        <v>2.15</v>
      </c>
      <c r="H43" s="10">
        <f t="shared" ref="H43" si="8">SUM(G43*1.2403)</f>
        <v>2.6666449999999999</v>
      </c>
      <c r="I43" s="202">
        <f>SUM(H43*F43)</f>
        <v>13208.4793469</v>
      </c>
      <c r="J43" s="9"/>
      <c r="K43" s="61"/>
    </row>
    <row r="44" spans="1:11" ht="18" customHeight="1" thickBot="1">
      <c r="A44" s="342" t="s">
        <v>38</v>
      </c>
      <c r="B44" s="342"/>
      <c r="C44" s="342"/>
      <c r="D44" s="342"/>
      <c r="E44" s="342"/>
      <c r="F44" s="342"/>
      <c r="G44" s="342"/>
      <c r="H44" s="342"/>
      <c r="I44" s="203">
        <f>SUM(I43)</f>
        <v>13208.4793469</v>
      </c>
      <c r="J44" s="58">
        <f>I44/I45</f>
        <v>3.0567677448687439E-2</v>
      </c>
      <c r="K44" s="5"/>
    </row>
    <row r="45" spans="1:11" ht="22.5" customHeight="1" thickBot="1">
      <c r="A45" s="332" t="s">
        <v>197</v>
      </c>
      <c r="B45" s="332"/>
      <c r="C45" s="332"/>
      <c r="D45" s="332"/>
      <c r="E45" s="332"/>
      <c r="F45" s="332"/>
      <c r="G45" s="332"/>
      <c r="H45" s="332"/>
      <c r="I45" s="205">
        <f>I9+I13+I18+I22+I28+I36+I41+I44</f>
        <v>432106.08228487329</v>
      </c>
      <c r="J45" s="60">
        <f>J9+J13+J18+J22+J28+J36+J41+J44</f>
        <v>1</v>
      </c>
      <c r="K45" s="5"/>
    </row>
    <row r="46" spans="1:11" ht="15.75">
      <c r="A46" s="27" t="s">
        <v>93</v>
      </c>
      <c r="B46" s="27"/>
      <c r="C46" s="27"/>
      <c r="D46" s="27"/>
      <c r="E46" s="28"/>
      <c r="F46" s="27"/>
      <c r="G46" s="335" t="s">
        <v>94</v>
      </c>
      <c r="H46" s="335"/>
      <c r="I46" s="335"/>
      <c r="J46" s="335"/>
      <c r="K46" s="1"/>
    </row>
    <row r="47" spans="1:11" ht="15.75">
      <c r="A47" s="20"/>
      <c r="B47" s="20"/>
      <c r="C47" s="20"/>
      <c r="D47" s="20"/>
      <c r="E47" s="21"/>
      <c r="F47" s="20"/>
      <c r="G47" s="333"/>
      <c r="H47" s="333"/>
      <c r="I47" s="333"/>
      <c r="J47" s="333"/>
      <c r="K47" s="64"/>
    </row>
    <row r="48" spans="1:11" ht="15.75">
      <c r="A48" s="20"/>
      <c r="B48" s="20"/>
      <c r="C48" s="20"/>
      <c r="D48" s="20"/>
      <c r="E48" s="21"/>
      <c r="F48" s="20"/>
      <c r="G48" s="46"/>
      <c r="H48" s="46"/>
      <c r="I48" s="46"/>
      <c r="J48" s="46"/>
      <c r="K48" s="1"/>
    </row>
    <row r="49" spans="1:12" ht="15.75">
      <c r="A49" s="20"/>
      <c r="B49" s="20"/>
      <c r="C49" s="20"/>
      <c r="D49" s="20"/>
      <c r="E49" s="21"/>
      <c r="F49" s="20"/>
      <c r="G49" s="46"/>
      <c r="H49" s="46"/>
      <c r="I49" s="46"/>
      <c r="J49" s="46"/>
      <c r="K49" s="1"/>
    </row>
    <row r="50" spans="1:12" ht="15.75">
      <c r="A50" s="29" t="s">
        <v>95</v>
      </c>
      <c r="B50" s="29"/>
      <c r="C50" s="29"/>
      <c r="D50" s="30"/>
      <c r="E50" s="334" t="s">
        <v>99</v>
      </c>
      <c r="F50" s="334"/>
      <c r="G50" s="334"/>
      <c r="H50" s="334"/>
      <c r="I50" s="334"/>
      <c r="J50" s="334"/>
      <c r="K50" s="1"/>
      <c r="L50" s="61"/>
    </row>
    <row r="51" spans="1:12">
      <c r="A51" s="331" t="s">
        <v>96</v>
      </c>
      <c r="B51" s="331"/>
      <c r="C51" s="331"/>
      <c r="D51" s="331"/>
      <c r="E51" s="343" t="s">
        <v>97</v>
      </c>
      <c r="F51" s="343"/>
      <c r="G51" s="343"/>
      <c r="H51" s="343"/>
      <c r="I51" s="343"/>
      <c r="J51" s="343"/>
      <c r="K51" s="1"/>
      <c r="L51" s="61"/>
    </row>
    <row r="52" spans="1:12" ht="15.75">
      <c r="A52" s="2"/>
      <c r="B52" s="2"/>
      <c r="C52" s="2"/>
      <c r="D52" s="3"/>
      <c r="E52" s="3"/>
      <c r="F52" s="2"/>
      <c r="G52" s="6"/>
      <c r="H52" s="6"/>
      <c r="I52" s="2"/>
      <c r="J52" s="4"/>
      <c r="K52" s="1"/>
    </row>
    <row r="53" spans="1:12">
      <c r="A53" s="189"/>
      <c r="B53" s="189"/>
      <c r="C53" s="189"/>
      <c r="D53" s="189"/>
      <c r="E53" s="189"/>
      <c r="F53" s="189"/>
    </row>
    <row r="54" spans="1:12">
      <c r="A54" s="336" t="s">
        <v>169</v>
      </c>
      <c r="B54" s="336"/>
      <c r="C54" s="336"/>
      <c r="D54" s="336"/>
      <c r="E54" s="336"/>
      <c r="F54" s="336"/>
    </row>
    <row r="55" spans="1:12">
      <c r="A55" s="337" t="s">
        <v>95</v>
      </c>
      <c r="B55" s="337"/>
      <c r="C55" s="337"/>
      <c r="D55" s="337"/>
      <c r="E55" s="337"/>
      <c r="F55" s="337"/>
    </row>
    <row r="56" spans="1:12">
      <c r="A56" s="337" t="s">
        <v>96</v>
      </c>
      <c r="B56" s="337"/>
      <c r="C56" s="337"/>
      <c r="D56" s="337"/>
      <c r="E56" s="337"/>
      <c r="F56" s="337"/>
    </row>
  </sheetData>
  <mergeCells count="26">
    <mergeCell ref="A54:F54"/>
    <mergeCell ref="A55:F55"/>
    <mergeCell ref="A56:F56"/>
    <mergeCell ref="A1:J1"/>
    <mergeCell ref="B3:J3"/>
    <mergeCell ref="B4:J4"/>
    <mergeCell ref="A5:A6"/>
    <mergeCell ref="B5:B6"/>
    <mergeCell ref="C5:C6"/>
    <mergeCell ref="D5:D6"/>
    <mergeCell ref="F5:F6"/>
    <mergeCell ref="A28:D28"/>
    <mergeCell ref="E5:E6"/>
    <mergeCell ref="A44:H44"/>
    <mergeCell ref="E51:J51"/>
    <mergeCell ref="A41:D41"/>
    <mergeCell ref="A51:D51"/>
    <mergeCell ref="A45:H45"/>
    <mergeCell ref="G47:J47"/>
    <mergeCell ref="E50:J50"/>
    <mergeCell ref="G46:J46"/>
    <mergeCell ref="A9:D9"/>
    <mergeCell ref="A18:D18"/>
    <mergeCell ref="A22:D22"/>
    <mergeCell ref="A36:D36"/>
    <mergeCell ref="A13:D13"/>
  </mergeCells>
  <pageMargins left="0.25" right="0.25" top="0.75" bottom="0.75" header="0.3" footer="0.3"/>
  <pageSetup paperSize="9" scale="70" orientation="landscape" r:id="rId1"/>
  <headerFooter>
    <oddHeader>&amp;C&amp;G</oddHeader>
    <oddFooter>&amp;R&amp;P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opLeftCell="A31" zoomScale="90" zoomScaleNormal="90" workbookViewId="0">
      <selection activeCell="F27" sqref="F27"/>
    </sheetView>
  </sheetViews>
  <sheetFormatPr defaultRowHeight="15"/>
  <cols>
    <col min="1" max="1" width="11.5703125" customWidth="1"/>
    <col min="2" max="2" width="18.7109375" customWidth="1"/>
    <col min="3" max="3" width="13.5703125" customWidth="1"/>
    <col min="4" max="4" width="167.5703125" bestFit="1" customWidth="1"/>
    <col min="6" max="6" width="12.85546875" bestFit="1" customWidth="1"/>
    <col min="7" max="7" width="10" bestFit="1" customWidth="1"/>
    <col min="8" max="8" width="16.28515625" bestFit="1" customWidth="1"/>
    <col min="9" max="9" width="14.5703125" bestFit="1" customWidth="1"/>
    <col min="10" max="10" width="13.7109375" bestFit="1" customWidth="1"/>
  </cols>
  <sheetData>
    <row r="1" spans="1:10" ht="18">
      <c r="A1" s="338" t="s">
        <v>0</v>
      </c>
      <c r="B1" s="338"/>
      <c r="C1" s="338"/>
      <c r="D1" s="338"/>
      <c r="E1" s="338"/>
      <c r="F1" s="338"/>
      <c r="G1" s="338"/>
      <c r="H1" s="338"/>
      <c r="I1" s="338"/>
      <c r="J1" s="338"/>
    </row>
    <row r="2" spans="1:10" ht="24.95" customHeight="1" thickBot="1">
      <c r="A2" s="157"/>
      <c r="B2" s="157"/>
      <c r="C2" s="157"/>
      <c r="D2" s="157"/>
      <c r="E2" s="157"/>
      <c r="F2" s="157"/>
      <c r="G2" s="157"/>
      <c r="H2" s="157"/>
      <c r="I2" s="157"/>
      <c r="J2" s="157"/>
    </row>
    <row r="3" spans="1:10" ht="24.95" customHeight="1" thickBot="1">
      <c r="A3" s="55" t="s">
        <v>1</v>
      </c>
      <c r="B3" s="339" t="s">
        <v>2</v>
      </c>
      <c r="C3" s="339"/>
      <c r="D3" s="339"/>
      <c r="E3" s="339"/>
      <c r="F3" s="339"/>
      <c r="G3" s="339"/>
      <c r="H3" s="339"/>
      <c r="I3" s="339"/>
      <c r="J3" s="339"/>
    </row>
    <row r="4" spans="1:10" ht="24.95" customHeight="1" thickBot="1">
      <c r="A4" s="55" t="s">
        <v>3</v>
      </c>
      <c r="B4" s="339" t="s">
        <v>131</v>
      </c>
      <c r="C4" s="339"/>
      <c r="D4" s="339"/>
      <c r="E4" s="339"/>
      <c r="F4" s="339"/>
      <c r="G4" s="339"/>
      <c r="H4" s="339"/>
      <c r="I4" s="339"/>
      <c r="J4" s="339"/>
    </row>
    <row r="5" spans="1:10" ht="24.95" customHeight="1" thickBot="1">
      <c r="A5" s="340" t="s">
        <v>5</v>
      </c>
      <c r="B5" s="340" t="s">
        <v>6</v>
      </c>
      <c r="C5" s="340" t="s">
        <v>7</v>
      </c>
      <c r="D5" s="340" t="s">
        <v>8</v>
      </c>
      <c r="E5" s="341" t="s">
        <v>9</v>
      </c>
      <c r="F5" s="341" t="s">
        <v>10</v>
      </c>
      <c r="G5" s="158" t="s">
        <v>11</v>
      </c>
      <c r="H5" s="158" t="s">
        <v>12</v>
      </c>
      <c r="I5" s="158" t="s">
        <v>13</v>
      </c>
      <c r="J5" s="57" t="s">
        <v>14</v>
      </c>
    </row>
    <row r="6" spans="1:10" ht="24.95" customHeight="1" thickBot="1">
      <c r="A6" s="340"/>
      <c r="B6" s="340"/>
      <c r="C6" s="340"/>
      <c r="D6" s="340"/>
      <c r="E6" s="341"/>
      <c r="F6" s="341"/>
      <c r="G6" s="158" t="s">
        <v>15</v>
      </c>
      <c r="H6" s="158" t="s">
        <v>16</v>
      </c>
      <c r="I6" s="158" t="s">
        <v>15</v>
      </c>
      <c r="J6" s="57"/>
    </row>
    <row r="7" spans="1:10" ht="24.95" customHeight="1">
      <c r="A7" s="51">
        <v>1</v>
      </c>
      <c r="B7" s="51"/>
      <c r="C7" s="51">
        <v>1</v>
      </c>
      <c r="D7" s="52" t="s">
        <v>17</v>
      </c>
      <c r="E7" s="53"/>
      <c r="F7" s="53"/>
      <c r="G7" s="53"/>
      <c r="H7" s="53"/>
      <c r="I7" s="53"/>
      <c r="J7" s="54"/>
    </row>
    <row r="8" spans="1:10" ht="27.75" customHeight="1">
      <c r="A8" s="8" t="s">
        <v>18</v>
      </c>
      <c r="B8" s="7" t="s">
        <v>19</v>
      </c>
      <c r="C8" s="8" t="s">
        <v>20</v>
      </c>
      <c r="D8" s="17" t="s">
        <v>21</v>
      </c>
      <c r="E8" s="7" t="s">
        <v>22</v>
      </c>
      <c r="F8" s="9">
        <v>6.4</v>
      </c>
      <c r="G8" s="14">
        <v>378.35</v>
      </c>
      <c r="H8" s="10">
        <f>SUM(G8*1.2403)</f>
        <v>469.26750500000003</v>
      </c>
      <c r="I8" s="11">
        <f>SUM(H8*F8)</f>
        <v>3003.3120320000003</v>
      </c>
      <c r="J8" s="9"/>
    </row>
    <row r="9" spans="1:10" ht="24.95" customHeight="1">
      <c r="A9" s="26"/>
      <c r="B9" s="26"/>
      <c r="C9" s="26"/>
      <c r="D9" s="38" t="s">
        <v>23</v>
      </c>
      <c r="E9" s="36"/>
      <c r="F9" s="36"/>
      <c r="G9" s="36"/>
      <c r="H9" s="36"/>
      <c r="I9" s="36"/>
      <c r="J9" s="37"/>
    </row>
    <row r="10" spans="1:10" ht="38.25" customHeight="1">
      <c r="A10" s="8" t="s">
        <v>24</v>
      </c>
      <c r="B10" s="49" t="s">
        <v>19</v>
      </c>
      <c r="C10" s="7">
        <v>72818</v>
      </c>
      <c r="D10" s="17" t="s">
        <v>25</v>
      </c>
      <c r="E10" s="7" t="s">
        <v>26</v>
      </c>
      <c r="F10" s="9">
        <v>803.5</v>
      </c>
      <c r="G10" s="14">
        <v>4.8</v>
      </c>
      <c r="H10" s="10">
        <f t="shared" ref="H10:H13" si="0">SUM(G10*1.2403)</f>
        <v>5.9534399999999996</v>
      </c>
      <c r="I10" s="11">
        <f t="shared" ref="I10:I47" si="1">SUM(H10*F10)</f>
        <v>4783.5890399999998</v>
      </c>
      <c r="J10" s="9"/>
    </row>
    <row r="11" spans="1:10" ht="36" customHeight="1">
      <c r="A11" s="8" t="s">
        <v>27</v>
      </c>
      <c r="B11" s="7" t="s">
        <v>19</v>
      </c>
      <c r="C11" s="7" t="s">
        <v>28</v>
      </c>
      <c r="D11" s="17" t="s">
        <v>29</v>
      </c>
      <c r="E11" s="7" t="s">
        <v>26</v>
      </c>
      <c r="F11" s="9">
        <v>803.5</v>
      </c>
      <c r="G11" s="14">
        <v>1.24</v>
      </c>
      <c r="H11" s="10">
        <f t="shared" si="0"/>
        <v>1.5379719999999999</v>
      </c>
      <c r="I11" s="11">
        <f t="shared" si="1"/>
        <v>1235.7605019999999</v>
      </c>
      <c r="J11" s="9"/>
    </row>
    <row r="12" spans="1:10" ht="24.95" customHeight="1">
      <c r="A12" s="8" t="s">
        <v>30</v>
      </c>
      <c r="B12" s="7" t="s">
        <v>19</v>
      </c>
      <c r="C12" s="7" t="s">
        <v>31</v>
      </c>
      <c r="D12" s="65" t="s">
        <v>32</v>
      </c>
      <c r="E12" s="7" t="s">
        <v>26</v>
      </c>
      <c r="F12" s="9">
        <v>803.5</v>
      </c>
      <c r="G12" s="14">
        <v>2.4</v>
      </c>
      <c r="H12" s="10">
        <f t="shared" si="0"/>
        <v>2.9767199999999998</v>
      </c>
      <c r="I12" s="11">
        <f t="shared" si="1"/>
        <v>2391.7945199999999</v>
      </c>
      <c r="J12" s="9"/>
    </row>
    <row r="13" spans="1:10" ht="34.5" customHeight="1">
      <c r="A13" s="8" t="s">
        <v>33</v>
      </c>
      <c r="B13" s="7" t="s">
        <v>19</v>
      </c>
      <c r="C13" s="7">
        <v>41721</v>
      </c>
      <c r="D13" s="17" t="s">
        <v>34</v>
      </c>
      <c r="E13" s="7" t="s">
        <v>26</v>
      </c>
      <c r="F13" s="9">
        <v>803.5</v>
      </c>
      <c r="G13" s="14">
        <v>2.56</v>
      </c>
      <c r="H13" s="10">
        <f t="shared" si="0"/>
        <v>3.1751679999999998</v>
      </c>
      <c r="I13" s="11">
        <f t="shared" si="1"/>
        <v>2551.247488</v>
      </c>
      <c r="J13" s="9"/>
    </row>
    <row r="14" spans="1:10" ht="24.95" customHeight="1">
      <c r="A14" s="32"/>
      <c r="B14" s="32"/>
      <c r="C14" s="33"/>
      <c r="D14" s="34" t="s">
        <v>35</v>
      </c>
      <c r="E14" s="35"/>
      <c r="F14" s="35"/>
      <c r="G14" s="35"/>
      <c r="H14" s="35"/>
      <c r="I14" s="36"/>
      <c r="J14" s="39"/>
    </row>
    <row r="15" spans="1:10" ht="24.95" customHeight="1">
      <c r="A15" s="40" t="s">
        <v>36</v>
      </c>
      <c r="B15" s="7" t="s">
        <v>174</v>
      </c>
      <c r="C15" s="190" t="s">
        <v>175</v>
      </c>
      <c r="D15" s="17" t="s">
        <v>37</v>
      </c>
      <c r="E15" s="7" t="s">
        <v>26</v>
      </c>
      <c r="F15" s="9">
        <v>803.5</v>
      </c>
      <c r="G15" s="31">
        <v>56.08</v>
      </c>
      <c r="H15" s="10">
        <f>SUM(G15*1.2403)</f>
        <v>69.556023999999994</v>
      </c>
      <c r="I15" s="11">
        <f t="shared" si="1"/>
        <v>55888.265283999994</v>
      </c>
      <c r="J15" s="41"/>
    </row>
    <row r="16" spans="1:10" ht="24.95" customHeight="1">
      <c r="A16" s="330" t="s">
        <v>38</v>
      </c>
      <c r="B16" s="330"/>
      <c r="C16" s="330"/>
      <c r="D16" s="330"/>
      <c r="E16" s="26"/>
      <c r="F16" s="12"/>
      <c r="G16" s="12"/>
      <c r="H16" s="13"/>
      <c r="I16" s="63">
        <f>SUM(I7:I15)</f>
        <v>69853.968865999996</v>
      </c>
      <c r="J16" s="42">
        <v>0.14775311329340884</v>
      </c>
    </row>
    <row r="17" spans="1:10" ht="24.95" customHeight="1">
      <c r="A17" s="344"/>
      <c r="B17" s="344"/>
      <c r="C17" s="344"/>
      <c r="D17" s="344"/>
      <c r="E17" s="22"/>
      <c r="F17" s="14"/>
      <c r="G17" s="16"/>
      <c r="H17" s="10"/>
      <c r="I17" s="11">
        <f t="shared" si="1"/>
        <v>0</v>
      </c>
      <c r="J17" s="43"/>
    </row>
    <row r="18" spans="1:10" ht="24.95" customHeight="1">
      <c r="A18" s="26">
        <v>2</v>
      </c>
      <c r="B18" s="15"/>
      <c r="C18" s="26">
        <v>2</v>
      </c>
      <c r="D18" s="15" t="s">
        <v>39</v>
      </c>
      <c r="E18" s="26"/>
      <c r="F18" s="12"/>
      <c r="G18" s="12"/>
      <c r="H18" s="13"/>
      <c r="I18" s="36"/>
      <c r="J18" s="42"/>
    </row>
    <row r="19" spans="1:10" ht="24.95" customHeight="1">
      <c r="A19" s="26"/>
      <c r="B19" s="15"/>
      <c r="C19" s="156"/>
      <c r="D19" s="15" t="s">
        <v>40</v>
      </c>
      <c r="E19" s="26"/>
      <c r="F19" s="12"/>
      <c r="G19" s="12"/>
      <c r="H19" s="13"/>
      <c r="I19" s="36"/>
      <c r="J19" s="42"/>
    </row>
    <row r="20" spans="1:10" ht="24.95" customHeight="1">
      <c r="A20" s="8" t="s">
        <v>41</v>
      </c>
      <c r="B20" s="7" t="s">
        <v>174</v>
      </c>
      <c r="C20" s="190" t="s">
        <v>176</v>
      </c>
      <c r="D20" s="23" t="s">
        <v>42</v>
      </c>
      <c r="E20" s="8" t="s">
        <v>22</v>
      </c>
      <c r="F20" s="14">
        <v>4017.51</v>
      </c>
      <c r="G20" s="16">
        <v>13.001799999999999</v>
      </c>
      <c r="H20" s="10">
        <f t="shared" ref="H20:H21" si="2">SUM(G20*1.2403)</f>
        <v>16.12613254</v>
      </c>
      <c r="I20" s="11">
        <f t="shared" si="1"/>
        <v>64786.898740775403</v>
      </c>
      <c r="J20" s="44"/>
    </row>
    <row r="21" spans="1:10" ht="24.95" customHeight="1">
      <c r="A21" s="8" t="s">
        <v>43</v>
      </c>
      <c r="B21" s="7" t="s">
        <v>19</v>
      </c>
      <c r="C21" s="7">
        <v>72961</v>
      </c>
      <c r="D21" s="17" t="s">
        <v>44</v>
      </c>
      <c r="E21" s="7" t="s">
        <v>22</v>
      </c>
      <c r="F21" s="14">
        <f>F20</f>
        <v>4017.51</v>
      </c>
      <c r="G21" s="31">
        <v>1.1599999999999999</v>
      </c>
      <c r="H21" s="10">
        <f t="shared" si="2"/>
        <v>1.4387479999999999</v>
      </c>
      <c r="I21" s="11">
        <f t="shared" si="1"/>
        <v>5780.1844774800002</v>
      </c>
      <c r="J21" s="45"/>
    </row>
    <row r="22" spans="1:10" ht="24.95" customHeight="1">
      <c r="A22" s="26"/>
      <c r="B22" s="15"/>
      <c r="C22" s="26"/>
      <c r="D22" s="15" t="s">
        <v>45</v>
      </c>
      <c r="E22" s="26"/>
      <c r="F22" s="12"/>
      <c r="G22" s="12"/>
      <c r="H22" s="13"/>
      <c r="I22" s="36"/>
      <c r="J22" s="42"/>
    </row>
    <row r="23" spans="1:10" ht="24.95" customHeight="1">
      <c r="A23" s="8" t="s">
        <v>46</v>
      </c>
      <c r="B23" s="7" t="s">
        <v>19</v>
      </c>
      <c r="C23" s="7">
        <v>73710</v>
      </c>
      <c r="D23" s="17" t="s">
        <v>47</v>
      </c>
      <c r="E23" s="7" t="s">
        <v>26</v>
      </c>
      <c r="F23" s="14">
        <v>803.5</v>
      </c>
      <c r="G23" s="16">
        <v>92.33</v>
      </c>
      <c r="H23" s="10">
        <f t="shared" ref="H23:H28" si="3">SUM(G23*1.2403)</f>
        <v>114.516899</v>
      </c>
      <c r="I23" s="11">
        <f t="shared" si="1"/>
        <v>92014.328346499999</v>
      </c>
      <c r="J23" s="44"/>
    </row>
    <row r="24" spans="1:10" ht="24.95" customHeight="1">
      <c r="A24" s="48" t="s">
        <v>48</v>
      </c>
      <c r="B24" s="7" t="s">
        <v>19</v>
      </c>
      <c r="C24" s="7">
        <v>72891</v>
      </c>
      <c r="D24" s="23" t="s">
        <v>49</v>
      </c>
      <c r="E24" s="7" t="s">
        <v>26</v>
      </c>
      <c r="F24" s="14">
        <v>803.5</v>
      </c>
      <c r="G24" s="16">
        <v>4.3899999999999997</v>
      </c>
      <c r="H24" s="10">
        <f t="shared" si="3"/>
        <v>5.4449169999999993</v>
      </c>
      <c r="I24" s="11">
        <f t="shared" si="1"/>
        <v>4374.9908094999992</v>
      </c>
      <c r="J24" s="41"/>
    </row>
    <row r="25" spans="1:10" ht="24.95" customHeight="1">
      <c r="A25" s="8" t="s">
        <v>50</v>
      </c>
      <c r="B25" s="7" t="s">
        <v>19</v>
      </c>
      <c r="C25" s="7">
        <v>72945</v>
      </c>
      <c r="D25" s="23" t="s">
        <v>51</v>
      </c>
      <c r="E25" s="7" t="s">
        <v>22</v>
      </c>
      <c r="F25" s="14">
        <f>F21</f>
        <v>4017.51</v>
      </c>
      <c r="G25" s="16">
        <v>3.76</v>
      </c>
      <c r="H25" s="10">
        <f t="shared" si="3"/>
        <v>4.6635279999999995</v>
      </c>
      <c r="I25" s="11">
        <f t="shared" si="1"/>
        <v>18735.770375279997</v>
      </c>
      <c r="J25" s="41"/>
    </row>
    <row r="26" spans="1:10" ht="24.95" customHeight="1">
      <c r="A26" s="8" t="s">
        <v>52</v>
      </c>
      <c r="B26" s="7" t="s">
        <v>19</v>
      </c>
      <c r="C26" s="7">
        <v>72942</v>
      </c>
      <c r="D26" s="23" t="s">
        <v>53</v>
      </c>
      <c r="E26" s="7" t="s">
        <v>22</v>
      </c>
      <c r="F26" s="14">
        <f>F25</f>
        <v>4017.51</v>
      </c>
      <c r="G26" s="16">
        <v>1.0900000000000001</v>
      </c>
      <c r="H26" s="10">
        <f t="shared" si="3"/>
        <v>1.3519270000000001</v>
      </c>
      <c r="I26" s="11">
        <f t="shared" si="1"/>
        <v>5431.3802417700008</v>
      </c>
      <c r="J26" s="41"/>
    </row>
    <row r="27" spans="1:10" ht="32.25" customHeight="1">
      <c r="A27" s="8" t="s">
        <v>54</v>
      </c>
      <c r="B27" s="7" t="s">
        <v>19</v>
      </c>
      <c r="C27" s="49">
        <v>72965</v>
      </c>
      <c r="D27" s="23" t="s">
        <v>55</v>
      </c>
      <c r="E27" s="7" t="s">
        <v>56</v>
      </c>
      <c r="F27" s="14">
        <v>289.26</v>
      </c>
      <c r="G27" s="16">
        <v>177.99</v>
      </c>
      <c r="H27" s="10">
        <f t="shared" si="3"/>
        <v>220.760997</v>
      </c>
      <c r="I27" s="11">
        <f t="shared" si="1"/>
        <v>63857.325992220001</v>
      </c>
      <c r="J27" s="41"/>
    </row>
    <row r="28" spans="1:10" ht="24.95" customHeight="1">
      <c r="A28" s="8" t="s">
        <v>57</v>
      </c>
      <c r="B28" s="7" t="s">
        <v>19</v>
      </c>
      <c r="C28" s="7">
        <v>72843</v>
      </c>
      <c r="D28" s="23" t="s">
        <v>58</v>
      </c>
      <c r="E28" s="7" t="s">
        <v>59</v>
      </c>
      <c r="F28" s="14">
        <v>867.78</v>
      </c>
      <c r="G28" s="16">
        <v>0.56000000000000005</v>
      </c>
      <c r="H28" s="10">
        <f t="shared" si="3"/>
        <v>0.69456800000000007</v>
      </c>
      <c r="I28" s="11">
        <f t="shared" si="1"/>
        <v>602.73221904000002</v>
      </c>
      <c r="J28" s="41"/>
    </row>
    <row r="29" spans="1:10" ht="24.95" customHeight="1">
      <c r="A29" s="330" t="s">
        <v>38</v>
      </c>
      <c r="B29" s="330"/>
      <c r="C29" s="330"/>
      <c r="D29" s="330"/>
      <c r="E29" s="26"/>
      <c r="F29" s="12"/>
      <c r="G29" s="12"/>
      <c r="H29" s="13"/>
      <c r="I29" s="62">
        <f>SUM(I18:I28)</f>
        <v>255583.6112025654</v>
      </c>
      <c r="J29" s="42">
        <v>0.55533602882148658</v>
      </c>
    </row>
    <row r="30" spans="1:10" ht="24.95" customHeight="1">
      <c r="A30" s="159"/>
      <c r="B30" s="159"/>
      <c r="C30" s="159"/>
      <c r="D30" s="159"/>
      <c r="E30" s="22"/>
      <c r="F30" s="18"/>
      <c r="G30" s="16"/>
      <c r="H30" s="10"/>
      <c r="I30" s="11">
        <f t="shared" si="1"/>
        <v>0</v>
      </c>
      <c r="J30" s="43"/>
    </row>
    <row r="31" spans="1:10" ht="24.95" customHeight="1">
      <c r="A31" s="26">
        <v>3</v>
      </c>
      <c r="B31" s="15"/>
      <c r="C31" s="26">
        <v>3</v>
      </c>
      <c r="D31" s="15" t="s">
        <v>60</v>
      </c>
      <c r="E31" s="24"/>
      <c r="F31" s="12"/>
      <c r="G31" s="12"/>
      <c r="H31" s="19"/>
      <c r="I31" s="36"/>
      <c r="J31" s="42"/>
    </row>
    <row r="32" spans="1:10" ht="24.95" customHeight="1">
      <c r="A32" s="7" t="s">
        <v>61</v>
      </c>
      <c r="B32" s="7" t="s">
        <v>19</v>
      </c>
      <c r="C32" s="7">
        <v>7011</v>
      </c>
      <c r="D32" s="25" t="s">
        <v>62</v>
      </c>
      <c r="E32" s="7" t="s">
        <v>63</v>
      </c>
      <c r="F32" s="9">
        <v>1083.7</v>
      </c>
      <c r="G32" s="16">
        <v>5.2</v>
      </c>
      <c r="H32" s="10">
        <f t="shared" ref="H32:H33" si="4">SUM(G32*1.2403)</f>
        <v>6.44956</v>
      </c>
      <c r="I32" s="11">
        <f t="shared" si="1"/>
        <v>6989.3881719999999</v>
      </c>
      <c r="J32" s="41"/>
    </row>
    <row r="33" spans="1:10" ht="24.95" customHeight="1">
      <c r="A33" s="7" t="s">
        <v>64</v>
      </c>
      <c r="B33" s="7" t="s">
        <v>19</v>
      </c>
      <c r="C33" s="7" t="s">
        <v>65</v>
      </c>
      <c r="D33" s="50" t="s">
        <v>66</v>
      </c>
      <c r="E33" s="7" t="s">
        <v>63</v>
      </c>
      <c r="F33" s="9">
        <v>1083.7</v>
      </c>
      <c r="G33" s="16">
        <v>27.52</v>
      </c>
      <c r="H33" s="10">
        <f t="shared" si="4"/>
        <v>34.133055999999996</v>
      </c>
      <c r="I33" s="11">
        <f t="shared" si="1"/>
        <v>36989.992787199997</v>
      </c>
      <c r="J33" s="41"/>
    </row>
    <row r="34" spans="1:10" ht="24.95" customHeight="1">
      <c r="A34" s="330" t="s">
        <v>38</v>
      </c>
      <c r="B34" s="330"/>
      <c r="C34" s="330"/>
      <c r="D34" s="330"/>
      <c r="E34" s="26"/>
      <c r="F34" s="12"/>
      <c r="G34" s="12"/>
      <c r="H34" s="13"/>
      <c r="I34" s="63">
        <f>SUM(I32:I33)</f>
        <v>43979.380959199996</v>
      </c>
      <c r="J34" s="42">
        <v>7.469937007092349E-2</v>
      </c>
    </row>
    <row r="35" spans="1:10" ht="24.95" customHeight="1">
      <c r="A35" s="345"/>
      <c r="B35" s="345"/>
      <c r="C35" s="345"/>
      <c r="D35" s="345"/>
      <c r="E35" s="7"/>
      <c r="F35" s="9"/>
      <c r="G35" s="16"/>
      <c r="H35" s="10"/>
      <c r="I35" s="11">
        <f t="shared" si="1"/>
        <v>0</v>
      </c>
      <c r="J35" s="43"/>
    </row>
    <row r="36" spans="1:10" ht="24.95" customHeight="1">
      <c r="A36" s="26">
        <v>4</v>
      </c>
      <c r="B36" s="15"/>
      <c r="C36" s="156">
        <v>4</v>
      </c>
      <c r="D36" s="15" t="s">
        <v>67</v>
      </c>
      <c r="E36" s="26"/>
      <c r="F36" s="12"/>
      <c r="G36" s="12"/>
      <c r="H36" s="13"/>
      <c r="I36" s="36"/>
      <c r="J36" s="42"/>
    </row>
    <row r="37" spans="1:10" ht="24.95" customHeight="1">
      <c r="A37" s="7" t="s">
        <v>68</v>
      </c>
      <c r="B37" s="7" t="s">
        <v>19</v>
      </c>
      <c r="C37" s="7">
        <v>72947</v>
      </c>
      <c r="D37" s="17" t="s">
        <v>69</v>
      </c>
      <c r="E37" s="7" t="s">
        <v>22</v>
      </c>
      <c r="F37" s="9">
        <v>213.07</v>
      </c>
      <c r="G37" s="14">
        <v>17.22</v>
      </c>
      <c r="H37" s="10">
        <f t="shared" ref="H37:H39" si="5">SUM(G37*1.2403)</f>
        <v>21.357965999999998</v>
      </c>
      <c r="I37" s="11">
        <f t="shared" si="1"/>
        <v>4550.7418156199992</v>
      </c>
      <c r="J37" s="9"/>
    </row>
    <row r="38" spans="1:10" ht="24.95" customHeight="1">
      <c r="A38" s="7" t="s">
        <v>70</v>
      </c>
      <c r="B38" s="7" t="s">
        <v>19</v>
      </c>
      <c r="C38" s="7" t="s">
        <v>71</v>
      </c>
      <c r="D38" s="17" t="s">
        <v>72</v>
      </c>
      <c r="E38" s="7" t="s">
        <v>9</v>
      </c>
      <c r="F38" s="9">
        <v>2</v>
      </c>
      <c r="G38" s="14">
        <v>106.46</v>
      </c>
      <c r="H38" s="10">
        <f t="shared" si="5"/>
        <v>132.042338</v>
      </c>
      <c r="I38" s="11">
        <f t="shared" si="1"/>
        <v>264.084676</v>
      </c>
      <c r="J38" s="9"/>
    </row>
    <row r="39" spans="1:10" ht="24.95" customHeight="1">
      <c r="A39" s="7" t="s">
        <v>73</v>
      </c>
      <c r="B39" s="7" t="s">
        <v>19</v>
      </c>
      <c r="C39" s="7" t="s">
        <v>71</v>
      </c>
      <c r="D39" s="17" t="s">
        <v>74</v>
      </c>
      <c r="E39" s="7" t="s">
        <v>9</v>
      </c>
      <c r="F39" s="9">
        <v>4</v>
      </c>
      <c r="G39" s="14">
        <v>106.46</v>
      </c>
      <c r="H39" s="10">
        <f t="shared" si="5"/>
        <v>132.042338</v>
      </c>
      <c r="I39" s="11">
        <f t="shared" si="1"/>
        <v>528.169352</v>
      </c>
      <c r="J39" s="9"/>
    </row>
    <row r="40" spans="1:10" ht="24.95" customHeight="1">
      <c r="A40" s="330" t="s">
        <v>38</v>
      </c>
      <c r="B40" s="330"/>
      <c r="C40" s="330"/>
      <c r="D40" s="330"/>
      <c r="E40" s="26"/>
      <c r="F40" s="12"/>
      <c r="G40" s="12"/>
      <c r="H40" s="13"/>
      <c r="I40" s="63">
        <f>SUM(I37:I39)</f>
        <v>5342.9958436199995</v>
      </c>
      <c r="J40" s="42">
        <v>8.1967248099846634E-3</v>
      </c>
    </row>
    <row r="41" spans="1:10" ht="24.95" customHeight="1">
      <c r="A41" s="26">
        <v>5</v>
      </c>
      <c r="B41" s="15"/>
      <c r="C41" s="26">
        <v>5</v>
      </c>
      <c r="D41" s="15" t="s">
        <v>75</v>
      </c>
      <c r="E41" s="26"/>
      <c r="F41" s="12"/>
      <c r="G41" s="12"/>
      <c r="H41" s="13"/>
      <c r="I41" s="36"/>
      <c r="J41" s="42"/>
    </row>
    <row r="42" spans="1:10" ht="24.95" customHeight="1">
      <c r="A42" s="7" t="s">
        <v>76</v>
      </c>
      <c r="B42" s="7" t="s">
        <v>19</v>
      </c>
      <c r="C42" s="7">
        <v>5622</v>
      </c>
      <c r="D42" s="17" t="s">
        <v>80</v>
      </c>
      <c r="E42" s="7" t="s">
        <v>22</v>
      </c>
      <c r="F42" s="9">
        <v>1607</v>
      </c>
      <c r="G42" s="14">
        <v>4.7699999999999996</v>
      </c>
      <c r="H42" s="10">
        <f t="shared" ref="H42:H47" si="6">SUM(G42*1.2403)</f>
        <v>5.9162309999999989</v>
      </c>
      <c r="I42" s="11">
        <f t="shared" si="1"/>
        <v>9507.3832169999987</v>
      </c>
      <c r="J42" s="9"/>
    </row>
    <row r="43" spans="1:10" ht="24.95" customHeight="1">
      <c r="A43" s="7" t="s">
        <v>79</v>
      </c>
      <c r="B43" s="7" t="s">
        <v>19</v>
      </c>
      <c r="C43" s="7" t="s">
        <v>82</v>
      </c>
      <c r="D43" s="17" t="s">
        <v>83</v>
      </c>
      <c r="E43" s="7" t="s">
        <v>26</v>
      </c>
      <c r="F43" s="9">
        <v>80.349999999999994</v>
      </c>
      <c r="G43" s="14">
        <v>86.09</v>
      </c>
      <c r="H43" s="10">
        <f t="shared" si="6"/>
        <v>106.777427</v>
      </c>
      <c r="I43" s="11">
        <f t="shared" si="1"/>
        <v>8579.5662594499991</v>
      </c>
      <c r="J43" s="9"/>
    </row>
    <row r="44" spans="1:10" ht="35.25" customHeight="1">
      <c r="A44" s="7" t="s">
        <v>81</v>
      </c>
      <c r="B44" s="7" t="s">
        <v>19</v>
      </c>
      <c r="C44" s="7" t="s">
        <v>172</v>
      </c>
      <c r="D44" s="65" t="s">
        <v>171</v>
      </c>
      <c r="E44" s="7" t="s">
        <v>22</v>
      </c>
      <c r="F44" s="9">
        <v>1607</v>
      </c>
      <c r="G44" s="14">
        <v>35.409999999999997</v>
      </c>
      <c r="H44" s="10">
        <f t="shared" si="6"/>
        <v>43.919022999999996</v>
      </c>
      <c r="I44" s="11">
        <f t="shared" si="1"/>
        <v>70577.869960999989</v>
      </c>
      <c r="J44" s="9"/>
    </row>
    <row r="45" spans="1:10" ht="24.95" customHeight="1">
      <c r="A45" s="7" t="s">
        <v>84</v>
      </c>
      <c r="B45" s="7" t="s">
        <v>19</v>
      </c>
      <c r="C45" s="7" t="s">
        <v>87</v>
      </c>
      <c r="D45" s="17" t="s">
        <v>88</v>
      </c>
      <c r="E45" s="7" t="s">
        <v>22</v>
      </c>
      <c r="F45" s="9">
        <v>16.32</v>
      </c>
      <c r="G45" s="14">
        <v>11.23</v>
      </c>
      <c r="H45" s="10">
        <f t="shared" si="6"/>
        <v>13.928569</v>
      </c>
      <c r="I45" s="11">
        <f t="shared" si="1"/>
        <v>227.31424608</v>
      </c>
      <c r="J45" s="9"/>
    </row>
    <row r="46" spans="1:10" ht="24.95" customHeight="1">
      <c r="A46" s="7" t="s">
        <v>86</v>
      </c>
      <c r="B46" s="7" t="s">
        <v>19</v>
      </c>
      <c r="C46" s="7">
        <v>85180</v>
      </c>
      <c r="D46" s="17" t="s">
        <v>90</v>
      </c>
      <c r="E46" s="7" t="s">
        <v>22</v>
      </c>
      <c r="F46" s="9">
        <v>573.92999999999995</v>
      </c>
      <c r="G46" s="14">
        <v>9.34</v>
      </c>
      <c r="H46" s="10">
        <f t="shared" si="6"/>
        <v>11.584401999999999</v>
      </c>
      <c r="I46" s="11">
        <f t="shared" si="1"/>
        <v>6648.6358398599987</v>
      </c>
      <c r="J46" s="9"/>
    </row>
    <row r="47" spans="1:10" ht="24.95" customHeight="1">
      <c r="A47" s="7" t="s">
        <v>89</v>
      </c>
      <c r="B47" s="7" t="s">
        <v>19</v>
      </c>
      <c r="C47" s="7">
        <v>9537</v>
      </c>
      <c r="D47" s="17" t="s">
        <v>92</v>
      </c>
      <c r="E47" s="7" t="s">
        <v>22</v>
      </c>
      <c r="F47" s="9">
        <v>4017.51</v>
      </c>
      <c r="G47" s="14">
        <v>2.1800000000000002</v>
      </c>
      <c r="H47" s="10">
        <f t="shared" si="6"/>
        <v>2.7038540000000002</v>
      </c>
      <c r="I47" s="11">
        <f t="shared" si="1"/>
        <v>10862.760483540002</v>
      </c>
      <c r="J47" s="9"/>
    </row>
    <row r="48" spans="1:10" ht="24.95" customHeight="1" thickBot="1">
      <c r="A48" s="342" t="s">
        <v>38</v>
      </c>
      <c r="B48" s="342"/>
      <c r="C48" s="342"/>
      <c r="D48" s="342"/>
      <c r="E48" s="342"/>
      <c r="F48" s="342"/>
      <c r="G48" s="342"/>
      <c r="H48" s="342"/>
      <c r="I48" s="63">
        <f>SUM(I42:I47)</f>
        <v>106403.53000692998</v>
      </c>
      <c r="J48" s="58">
        <v>0.21401476300419636</v>
      </c>
    </row>
    <row r="49" spans="1:10" ht="24.95" customHeight="1" thickBot="1">
      <c r="A49" s="332" t="s">
        <v>98</v>
      </c>
      <c r="B49" s="332"/>
      <c r="C49" s="332"/>
      <c r="D49" s="332"/>
      <c r="E49" s="332"/>
      <c r="F49" s="332"/>
      <c r="G49" s="332"/>
      <c r="H49" s="332"/>
      <c r="I49" s="59">
        <f>SUM(I16+I29+I34+I40+I48)</f>
        <v>481163.48687831534</v>
      </c>
      <c r="J49" s="60">
        <v>1</v>
      </c>
    </row>
    <row r="50" spans="1:10" ht="24.95" customHeight="1">
      <c r="A50" s="27" t="s">
        <v>93</v>
      </c>
      <c r="B50" s="27"/>
      <c r="C50" s="27"/>
      <c r="D50" s="27"/>
      <c r="E50" s="28"/>
      <c r="F50" s="27"/>
      <c r="G50" s="335" t="s">
        <v>94</v>
      </c>
      <c r="H50" s="335"/>
      <c r="I50" s="335"/>
      <c r="J50" s="335"/>
    </row>
    <row r="51" spans="1:10" ht="15.75">
      <c r="A51" s="20"/>
      <c r="B51" s="20"/>
      <c r="C51" s="20"/>
      <c r="D51" s="20"/>
      <c r="E51" s="21"/>
      <c r="F51" s="20"/>
      <c r="G51" s="333"/>
      <c r="H51" s="333"/>
      <c r="I51" s="333"/>
      <c r="J51" s="333"/>
    </row>
    <row r="52" spans="1:10" ht="15.75">
      <c r="A52" s="20"/>
      <c r="B52" s="20"/>
      <c r="C52" s="20"/>
      <c r="D52" s="20"/>
      <c r="E52" s="21"/>
      <c r="F52" s="20"/>
      <c r="G52" s="160"/>
      <c r="H52" s="160"/>
      <c r="I52" s="160"/>
      <c r="J52" s="160"/>
    </row>
    <row r="53" spans="1:10" ht="15.75">
      <c r="A53" s="20"/>
      <c r="B53" s="20"/>
      <c r="C53" s="20"/>
      <c r="D53" s="20"/>
      <c r="E53" s="21"/>
      <c r="F53" s="20"/>
      <c r="G53" s="160"/>
      <c r="H53" s="160"/>
      <c r="I53" s="160"/>
      <c r="J53" s="160"/>
    </row>
    <row r="54" spans="1:10" ht="15.75">
      <c r="A54" s="29" t="s">
        <v>95</v>
      </c>
      <c r="B54" s="29"/>
      <c r="C54" s="29"/>
      <c r="D54" s="30"/>
      <c r="E54" s="334" t="s">
        <v>99</v>
      </c>
      <c r="F54" s="334"/>
      <c r="G54" s="334"/>
      <c r="H54" s="334"/>
      <c r="I54" s="334"/>
      <c r="J54" s="334"/>
    </row>
    <row r="55" spans="1:10">
      <c r="A55" s="331" t="s">
        <v>96</v>
      </c>
      <c r="B55" s="331"/>
      <c r="C55" s="331"/>
      <c r="D55" s="331"/>
      <c r="E55" s="343" t="s">
        <v>97</v>
      </c>
      <c r="F55" s="343"/>
      <c r="G55" s="343"/>
      <c r="H55" s="343"/>
      <c r="I55" s="343"/>
      <c r="J55" s="343"/>
    </row>
  </sheetData>
  <mergeCells count="22">
    <mergeCell ref="A55:D55"/>
    <mergeCell ref="E55:J55"/>
    <mergeCell ref="A16:D16"/>
    <mergeCell ref="A17:D17"/>
    <mergeCell ref="A29:D29"/>
    <mergeCell ref="A34:D34"/>
    <mergeCell ref="A35:D35"/>
    <mergeCell ref="A40:D40"/>
    <mergeCell ref="A48:H48"/>
    <mergeCell ref="A49:H49"/>
    <mergeCell ref="G50:J50"/>
    <mergeCell ref="G51:J51"/>
    <mergeCell ref="E54:J54"/>
    <mergeCell ref="A1:J1"/>
    <mergeCell ref="B3:J3"/>
    <mergeCell ref="B4:J4"/>
    <mergeCell ref="A5:A6"/>
    <mergeCell ref="B5:B6"/>
    <mergeCell ref="C5:C6"/>
    <mergeCell ref="D5:D6"/>
    <mergeCell ref="E5:E6"/>
    <mergeCell ref="F5:F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83"/>
  <sheetViews>
    <sheetView tabSelected="1" zoomScale="85" zoomScaleNormal="85" zoomScaleSheetLayoutView="90" workbookViewId="0">
      <pane xSplit="4" ySplit="5" topLeftCell="E6" activePane="bottomRight" state="frozen"/>
      <selection pane="topRight" activeCell="E1" sqref="E1"/>
      <selection pane="bottomLeft" activeCell="A7" sqref="A7"/>
      <selection pane="bottomRight" activeCell="D16" sqref="D16"/>
    </sheetView>
  </sheetViews>
  <sheetFormatPr defaultRowHeight="15"/>
  <cols>
    <col min="1" max="1" width="9.85546875" customWidth="1"/>
    <col min="2" max="2" width="17.42578125" customWidth="1"/>
    <col min="3" max="3" width="12.5703125" style="303" bestFit="1" customWidth="1"/>
    <col min="4" max="4" width="82.28515625" customWidth="1"/>
    <col min="5" max="5" width="9.85546875" customWidth="1"/>
    <col min="6" max="6" width="13" customWidth="1"/>
    <col min="7" max="7" width="11.5703125" bestFit="1" customWidth="1"/>
    <col min="8" max="8" width="15.7109375" customWidth="1"/>
    <col min="9" max="9" width="13.85546875" customWidth="1"/>
    <col min="10" max="10" width="13" customWidth="1"/>
    <col min="11" max="12" width="13.28515625" customWidth="1"/>
    <col min="13" max="13" width="10.140625" style="263" customWidth="1"/>
    <col min="14" max="14" width="3.7109375" customWidth="1"/>
    <col min="15" max="15" width="12.42578125" hidden="1" customWidth="1"/>
    <col min="16" max="16" width="14.140625" hidden="1" customWidth="1"/>
    <col min="17" max="17" width="10.7109375" customWidth="1"/>
  </cols>
  <sheetData>
    <row r="1" spans="1:15" ht="31.5" customHeight="1">
      <c r="A1" s="356" t="s">
        <v>0</v>
      </c>
      <c r="B1" s="356"/>
      <c r="C1" s="356"/>
      <c r="D1" s="356"/>
      <c r="E1" s="356"/>
      <c r="F1" s="356"/>
      <c r="G1" s="356"/>
      <c r="H1" s="356"/>
      <c r="I1" s="356"/>
      <c r="J1" s="356"/>
    </row>
    <row r="2" spans="1:15" ht="21" customHeight="1">
      <c r="A2" s="357" t="s">
        <v>359</v>
      </c>
      <c r="B2" s="357"/>
      <c r="C2" s="357"/>
      <c r="D2" s="357"/>
      <c r="E2" s="357"/>
      <c r="F2" s="357"/>
      <c r="G2" s="357"/>
      <c r="H2" s="357"/>
      <c r="I2" s="357"/>
      <c r="J2" s="357"/>
    </row>
    <row r="3" spans="1:15" ht="21" customHeight="1">
      <c r="A3" s="358" t="s">
        <v>358</v>
      </c>
      <c r="B3" s="358"/>
      <c r="C3" s="358"/>
      <c r="D3" s="358"/>
      <c r="E3" s="358"/>
      <c r="F3" s="358"/>
      <c r="G3" s="358"/>
      <c r="H3" s="358"/>
      <c r="I3" s="358"/>
      <c r="J3" s="358"/>
    </row>
    <row r="4" spans="1:15" ht="33.75" customHeight="1">
      <c r="A4" s="359" t="s">
        <v>5</v>
      </c>
      <c r="B4" s="359" t="s">
        <v>6</v>
      </c>
      <c r="C4" s="359" t="s">
        <v>7</v>
      </c>
      <c r="D4" s="359" t="s">
        <v>8</v>
      </c>
      <c r="E4" s="360" t="s">
        <v>9</v>
      </c>
      <c r="F4" s="360" t="s">
        <v>10</v>
      </c>
      <c r="G4" s="295" t="s">
        <v>11</v>
      </c>
      <c r="H4" s="295" t="s">
        <v>12</v>
      </c>
      <c r="I4" s="295" t="s">
        <v>13</v>
      </c>
      <c r="J4" s="270" t="s">
        <v>14</v>
      </c>
      <c r="L4" s="213"/>
    </row>
    <row r="5" spans="1:15" ht="19.5" customHeight="1">
      <c r="A5" s="359"/>
      <c r="B5" s="359"/>
      <c r="C5" s="359"/>
      <c r="D5" s="359"/>
      <c r="E5" s="360"/>
      <c r="F5" s="360"/>
      <c r="G5" s="295" t="s">
        <v>15</v>
      </c>
      <c r="H5" s="295" t="s">
        <v>280</v>
      </c>
      <c r="I5" s="295" t="s">
        <v>15</v>
      </c>
      <c r="J5" s="270"/>
      <c r="L5" s="213"/>
    </row>
    <row r="6" spans="1:15" ht="19.5" customHeight="1">
      <c r="A6" s="26">
        <v>1</v>
      </c>
      <c r="B6" s="15"/>
      <c r="C6" s="26"/>
      <c r="D6" s="15" t="s">
        <v>17</v>
      </c>
      <c r="E6" s="15"/>
      <c r="F6" s="15"/>
      <c r="G6" s="15"/>
      <c r="H6" s="15"/>
      <c r="I6" s="15"/>
      <c r="J6" s="15"/>
      <c r="L6" s="213"/>
    </row>
    <row r="7" spans="1:15" ht="30">
      <c r="A7" s="7" t="s">
        <v>18</v>
      </c>
      <c r="B7" s="7" t="s">
        <v>332</v>
      </c>
      <c r="C7" s="7">
        <v>4813</v>
      </c>
      <c r="D7" s="17" t="s">
        <v>334</v>
      </c>
      <c r="E7" s="7" t="s">
        <v>22</v>
      </c>
      <c r="F7" s="284">
        <v>4.5</v>
      </c>
      <c r="G7" s="289">
        <v>300</v>
      </c>
      <c r="H7" s="10">
        <v>380.25</v>
      </c>
      <c r="I7" s="281">
        <v>1711.13</v>
      </c>
      <c r="J7" s="195"/>
      <c r="L7" s="213"/>
    </row>
    <row r="8" spans="1:15" ht="19.5" customHeight="1">
      <c r="A8" s="350" t="s">
        <v>38</v>
      </c>
      <c r="B8" s="350"/>
      <c r="C8" s="350"/>
      <c r="D8" s="350"/>
      <c r="E8" s="282"/>
      <c r="F8" s="282"/>
      <c r="G8" s="282"/>
      <c r="H8" s="282"/>
      <c r="I8" s="283">
        <v>1711.13</v>
      </c>
      <c r="J8" s="288">
        <v>7.9048116781277721E-3</v>
      </c>
      <c r="L8" s="213"/>
    </row>
    <row r="9" spans="1:15" ht="15" customHeight="1">
      <c r="A9" s="351"/>
      <c r="B9" s="352"/>
      <c r="C9" s="352"/>
      <c r="D9" s="352"/>
      <c r="E9" s="285"/>
      <c r="F9" s="285"/>
      <c r="G9" s="285"/>
      <c r="H9" s="285"/>
      <c r="I9" s="285"/>
      <c r="J9" s="286"/>
      <c r="L9" s="213"/>
    </row>
    <row r="10" spans="1:15" ht="19.5" customHeight="1">
      <c r="A10" s="26">
        <v>2</v>
      </c>
      <c r="B10" s="15"/>
      <c r="C10" s="26"/>
      <c r="D10" s="15" t="s">
        <v>317</v>
      </c>
      <c r="E10" s="15"/>
      <c r="F10" s="15"/>
      <c r="G10" s="15"/>
      <c r="H10" s="15"/>
      <c r="I10" s="15"/>
      <c r="J10" s="15"/>
      <c r="L10" s="213"/>
    </row>
    <row r="11" spans="1:15" ht="49.5" customHeight="1">
      <c r="A11" s="7" t="s">
        <v>41</v>
      </c>
      <c r="B11" s="7" t="s">
        <v>332</v>
      </c>
      <c r="C11" s="7">
        <v>94267</v>
      </c>
      <c r="D11" s="25" t="s">
        <v>328</v>
      </c>
      <c r="E11" s="7" t="s">
        <v>63</v>
      </c>
      <c r="F11" s="9">
        <v>493.5</v>
      </c>
      <c r="G11" s="10">
        <v>35.68</v>
      </c>
      <c r="H11" s="10">
        <v>45.22</v>
      </c>
      <c r="I11" s="281">
        <v>22316.07</v>
      </c>
      <c r="J11" s="41"/>
      <c r="L11" s="214"/>
      <c r="O11" s="263"/>
    </row>
    <row r="12" spans="1:15" s="290" customFormat="1" ht="19.5" customHeight="1">
      <c r="A12" s="7" t="s">
        <v>43</v>
      </c>
      <c r="B12" s="7" t="s">
        <v>332</v>
      </c>
      <c r="C12" s="7">
        <v>83693</v>
      </c>
      <c r="D12" s="17" t="s">
        <v>319</v>
      </c>
      <c r="E12" s="7" t="s">
        <v>22</v>
      </c>
      <c r="F12" s="9">
        <v>175.38</v>
      </c>
      <c r="G12" s="10">
        <v>4.09</v>
      </c>
      <c r="H12" s="10">
        <v>5.18</v>
      </c>
      <c r="I12" s="202">
        <v>908.47</v>
      </c>
      <c r="J12" s="41"/>
      <c r="L12" s="214"/>
      <c r="M12" s="291"/>
      <c r="O12" s="291"/>
    </row>
    <row r="13" spans="1:15" s="290" customFormat="1" ht="30">
      <c r="A13" s="7" t="s">
        <v>46</v>
      </c>
      <c r="B13" s="7" t="s">
        <v>333</v>
      </c>
      <c r="C13" s="7" t="s">
        <v>320</v>
      </c>
      <c r="D13" s="17" t="s">
        <v>321</v>
      </c>
      <c r="E13" s="7" t="s">
        <v>22</v>
      </c>
      <c r="F13" s="9">
        <v>628.4</v>
      </c>
      <c r="G13" s="10">
        <v>2.0099999999999998</v>
      </c>
      <c r="H13" s="10">
        <v>2.5499999999999998</v>
      </c>
      <c r="I13" s="202">
        <v>1602.42</v>
      </c>
      <c r="J13" s="41"/>
      <c r="L13" s="214"/>
      <c r="M13" s="291"/>
      <c r="O13" s="291"/>
    </row>
    <row r="14" spans="1:15" ht="45.75">
      <c r="A14" s="7" t="s">
        <v>48</v>
      </c>
      <c r="B14" s="7" t="s">
        <v>332</v>
      </c>
      <c r="C14" s="7">
        <v>94116</v>
      </c>
      <c r="D14" s="25" t="s">
        <v>316</v>
      </c>
      <c r="E14" s="7" t="s">
        <v>26</v>
      </c>
      <c r="F14" s="9">
        <v>31.42</v>
      </c>
      <c r="G14" s="10">
        <v>129.13999999999999</v>
      </c>
      <c r="H14" s="10">
        <v>163.68</v>
      </c>
      <c r="I14" s="281">
        <v>5142.83</v>
      </c>
      <c r="J14" s="41"/>
      <c r="L14" s="214"/>
      <c r="O14" s="263"/>
    </row>
    <row r="15" spans="1:15" ht="45">
      <c r="A15" s="7" t="s">
        <v>50</v>
      </c>
      <c r="B15" s="7" t="s">
        <v>332</v>
      </c>
      <c r="C15" s="7">
        <v>94991</v>
      </c>
      <c r="D15" s="292" t="s">
        <v>293</v>
      </c>
      <c r="E15" s="7" t="s">
        <v>26</v>
      </c>
      <c r="F15" s="9">
        <v>43.989999999999995</v>
      </c>
      <c r="G15" s="10">
        <v>442.44</v>
      </c>
      <c r="H15" s="10">
        <v>560.79</v>
      </c>
      <c r="I15" s="281">
        <v>24669.15</v>
      </c>
      <c r="J15" s="41"/>
      <c r="L15" s="214"/>
      <c r="O15" s="263"/>
    </row>
    <row r="16" spans="1:15" ht="30.75">
      <c r="A16" s="7" t="s">
        <v>52</v>
      </c>
      <c r="B16" s="7" t="s">
        <v>333</v>
      </c>
      <c r="C16" s="7" t="s">
        <v>313</v>
      </c>
      <c r="D16" s="278" t="s">
        <v>312</v>
      </c>
      <c r="E16" s="7" t="s">
        <v>22</v>
      </c>
      <c r="F16" s="9">
        <v>4.5599999999999996</v>
      </c>
      <c r="G16" s="10">
        <v>98.88</v>
      </c>
      <c r="H16" s="10">
        <v>125.33</v>
      </c>
      <c r="I16" s="202">
        <v>571.5</v>
      </c>
      <c r="J16" s="41"/>
      <c r="L16" s="214"/>
      <c r="O16" s="263"/>
    </row>
    <row r="17" spans="1:18" ht="18.95" customHeight="1">
      <c r="A17" s="7" t="s">
        <v>54</v>
      </c>
      <c r="B17" s="7" t="s">
        <v>332</v>
      </c>
      <c r="C17" s="7">
        <v>98504</v>
      </c>
      <c r="D17" s="278" t="s">
        <v>335</v>
      </c>
      <c r="E17" s="7" t="s">
        <v>22</v>
      </c>
      <c r="F17" s="9"/>
      <c r="G17" s="10">
        <v>8.9700000000000006</v>
      </c>
      <c r="H17" s="10">
        <v>11.37</v>
      </c>
      <c r="I17" s="281">
        <v>0</v>
      </c>
      <c r="J17" s="41"/>
      <c r="L17" s="214"/>
      <c r="O17" s="263"/>
    </row>
    <row r="18" spans="1:18" ht="30">
      <c r="A18" s="7" t="s">
        <v>57</v>
      </c>
      <c r="B18" s="7" t="s">
        <v>332</v>
      </c>
      <c r="C18" s="7">
        <v>73361</v>
      </c>
      <c r="D18" s="292" t="s">
        <v>329</v>
      </c>
      <c r="E18" s="7" t="s">
        <v>26</v>
      </c>
      <c r="F18" s="9"/>
      <c r="G18" s="10">
        <v>359.98</v>
      </c>
      <c r="H18" s="10">
        <v>456.27</v>
      </c>
      <c r="I18" s="281">
        <v>0</v>
      </c>
      <c r="J18" s="41"/>
      <c r="L18" s="214"/>
      <c r="O18" s="263"/>
    </row>
    <row r="19" spans="1:18" ht="19.5" customHeight="1">
      <c r="A19" s="347" t="s">
        <v>38</v>
      </c>
      <c r="B19" s="348"/>
      <c r="C19" s="348"/>
      <c r="D19" s="349"/>
      <c r="E19" s="271"/>
      <c r="F19" s="272"/>
      <c r="G19" s="272"/>
      <c r="H19" s="273"/>
      <c r="I19" s="273">
        <v>55210.44</v>
      </c>
      <c r="J19" s="274">
        <v>0.25505258564023348</v>
      </c>
      <c r="K19" s="212"/>
      <c r="O19" s="263"/>
      <c r="Q19" s="212"/>
      <c r="R19" s="61"/>
    </row>
    <row r="20" spans="1:18" ht="15" customHeight="1">
      <c r="A20" s="351"/>
      <c r="B20" s="352"/>
      <c r="C20" s="352"/>
      <c r="D20" s="352"/>
      <c r="E20" s="285"/>
      <c r="F20" s="285"/>
      <c r="G20" s="285"/>
      <c r="H20" s="285"/>
      <c r="I20" s="285"/>
      <c r="J20" s="286"/>
      <c r="K20" s="212"/>
      <c r="O20" s="263"/>
      <c r="Q20" s="212"/>
      <c r="R20" s="61"/>
    </row>
    <row r="21" spans="1:18" ht="19.5" customHeight="1">
      <c r="A21" s="26">
        <v>3</v>
      </c>
      <c r="B21" s="15"/>
      <c r="C21" s="26"/>
      <c r="D21" s="15" t="s">
        <v>314</v>
      </c>
      <c r="E21" s="26"/>
      <c r="F21" s="12"/>
      <c r="G21" s="12"/>
      <c r="H21" s="13"/>
      <c r="I21" s="231"/>
      <c r="J21" s="42"/>
      <c r="O21" s="263"/>
    </row>
    <row r="22" spans="1:18" ht="18" customHeight="1">
      <c r="A22" s="15"/>
      <c r="B22" s="15"/>
      <c r="C22" s="15"/>
      <c r="D22" s="15" t="s">
        <v>360</v>
      </c>
      <c r="E22" s="15"/>
      <c r="F22" s="15"/>
      <c r="G22" s="15"/>
      <c r="H22" s="15"/>
      <c r="I22" s="15"/>
      <c r="J22" s="15"/>
      <c r="O22" s="263"/>
    </row>
    <row r="23" spans="1:18" ht="30">
      <c r="A23" s="7" t="s">
        <v>61</v>
      </c>
      <c r="B23" s="7" t="s">
        <v>333</v>
      </c>
      <c r="C23" s="7" t="s">
        <v>361</v>
      </c>
      <c r="D23" s="17" t="s">
        <v>362</v>
      </c>
      <c r="E23" s="7" t="s">
        <v>26</v>
      </c>
      <c r="F23" s="9">
        <v>300</v>
      </c>
      <c r="G23" s="9">
        <v>9.1999999999999993</v>
      </c>
      <c r="H23" s="10">
        <v>11.66</v>
      </c>
      <c r="I23" s="202">
        <v>3498</v>
      </c>
      <c r="J23" s="267"/>
      <c r="O23" s="263"/>
    </row>
    <row r="24" spans="1:18" ht="31.5" customHeight="1">
      <c r="A24" s="7" t="s">
        <v>64</v>
      </c>
      <c r="B24" s="7" t="s">
        <v>333</v>
      </c>
      <c r="C24" s="7" t="s">
        <v>363</v>
      </c>
      <c r="D24" s="17" t="s">
        <v>364</v>
      </c>
      <c r="E24" s="7" t="s">
        <v>26</v>
      </c>
      <c r="F24" s="9">
        <v>300</v>
      </c>
      <c r="G24" s="9">
        <v>10.63</v>
      </c>
      <c r="H24" s="10">
        <v>13.47</v>
      </c>
      <c r="I24" s="202">
        <v>4041</v>
      </c>
      <c r="J24" s="267"/>
      <c r="O24" s="263"/>
    </row>
    <row r="25" spans="1:18" ht="45">
      <c r="A25" s="7" t="s">
        <v>195</v>
      </c>
      <c r="B25" s="7" t="s">
        <v>332</v>
      </c>
      <c r="C25" s="7">
        <v>96385</v>
      </c>
      <c r="D25" s="17" t="s">
        <v>365</v>
      </c>
      <c r="E25" s="7" t="s">
        <v>26</v>
      </c>
      <c r="F25" s="9">
        <v>300</v>
      </c>
      <c r="G25" s="9">
        <v>6.88</v>
      </c>
      <c r="H25" s="10">
        <v>8.7200000000000006</v>
      </c>
      <c r="I25" s="281">
        <v>2616</v>
      </c>
      <c r="J25" s="267"/>
      <c r="O25" s="263"/>
    </row>
    <row r="26" spans="1:18" ht="19.5" customHeight="1">
      <c r="A26" s="26"/>
      <c r="B26" s="15"/>
      <c r="C26" s="26"/>
      <c r="D26" s="15" t="s">
        <v>289</v>
      </c>
      <c r="E26" s="26"/>
      <c r="F26" s="12"/>
      <c r="G26" s="12"/>
      <c r="H26" s="13"/>
      <c r="I26" s="231"/>
      <c r="J26" s="42"/>
      <c r="O26" s="263"/>
    </row>
    <row r="27" spans="1:18" ht="48" customHeight="1">
      <c r="A27" s="7" t="s">
        <v>198</v>
      </c>
      <c r="B27" s="7" t="s">
        <v>332</v>
      </c>
      <c r="C27" s="7" t="s">
        <v>202</v>
      </c>
      <c r="D27" s="17" t="s">
        <v>290</v>
      </c>
      <c r="E27" s="7" t="s">
        <v>26</v>
      </c>
      <c r="F27" s="9">
        <v>272.5</v>
      </c>
      <c r="G27" s="10">
        <v>2.5</v>
      </c>
      <c r="H27" s="10">
        <v>3.17</v>
      </c>
      <c r="I27" s="281">
        <v>863.83</v>
      </c>
      <c r="J27" s="267"/>
      <c r="O27" s="263"/>
    </row>
    <row r="28" spans="1:18" ht="60">
      <c r="A28" s="7" t="s">
        <v>199</v>
      </c>
      <c r="B28" s="7" t="s">
        <v>332</v>
      </c>
      <c r="C28" s="190" t="s">
        <v>28</v>
      </c>
      <c r="D28" s="17" t="s">
        <v>239</v>
      </c>
      <c r="E28" s="7" t="s">
        <v>26</v>
      </c>
      <c r="F28" s="9">
        <v>272.5</v>
      </c>
      <c r="G28" s="10">
        <v>1.38</v>
      </c>
      <c r="H28" s="10">
        <v>1.75</v>
      </c>
      <c r="I28" s="281">
        <v>476.88</v>
      </c>
      <c r="J28" s="267"/>
      <c r="O28" s="263"/>
    </row>
    <row r="29" spans="1:18" ht="30">
      <c r="A29" s="7" t="s">
        <v>204</v>
      </c>
      <c r="B29" s="7" t="s">
        <v>332</v>
      </c>
      <c r="C29" s="7">
        <v>100574</v>
      </c>
      <c r="D29" s="17" t="s">
        <v>336</v>
      </c>
      <c r="E29" s="7" t="s">
        <v>26</v>
      </c>
      <c r="F29" s="9">
        <v>272.5</v>
      </c>
      <c r="G29" s="10">
        <v>0.86</v>
      </c>
      <c r="H29" s="10">
        <v>1.0900000000000001</v>
      </c>
      <c r="I29" s="281">
        <v>297.02999999999997</v>
      </c>
      <c r="J29" s="267"/>
      <c r="O29" s="263"/>
    </row>
    <row r="30" spans="1:18" ht="19.5" customHeight="1">
      <c r="A30" s="24"/>
      <c r="B30" s="24"/>
      <c r="C30" s="24"/>
      <c r="D30" s="15" t="s">
        <v>40</v>
      </c>
      <c r="E30" s="24"/>
      <c r="F30" s="12"/>
      <c r="G30" s="19"/>
      <c r="H30" s="19"/>
      <c r="I30" s="231"/>
      <c r="J30" s="231"/>
      <c r="K30" s="61"/>
      <c r="O30" s="263"/>
    </row>
    <row r="31" spans="1:18" ht="30">
      <c r="A31" s="7" t="s">
        <v>207</v>
      </c>
      <c r="B31" s="7" t="s">
        <v>333</v>
      </c>
      <c r="C31" s="190" t="s">
        <v>292</v>
      </c>
      <c r="D31" s="17" t="s">
        <v>291</v>
      </c>
      <c r="E31" s="7" t="s">
        <v>22</v>
      </c>
      <c r="F31" s="297">
        <v>1362.51</v>
      </c>
      <c r="G31" s="10">
        <v>16.440000000000001</v>
      </c>
      <c r="H31" s="10">
        <v>20.84</v>
      </c>
      <c r="I31" s="202">
        <v>28394.71</v>
      </c>
      <c r="J31" s="267"/>
      <c r="O31" s="263"/>
    </row>
    <row r="32" spans="1:18" ht="30">
      <c r="A32" s="7" t="s">
        <v>211</v>
      </c>
      <c r="B32" s="7" t="s">
        <v>332</v>
      </c>
      <c r="C32" s="190" t="s">
        <v>337</v>
      </c>
      <c r="D32" s="17" t="s">
        <v>338</v>
      </c>
      <c r="E32" s="7" t="s">
        <v>22</v>
      </c>
      <c r="F32" s="9">
        <v>1362.51</v>
      </c>
      <c r="G32" s="10">
        <v>1.49</v>
      </c>
      <c r="H32" s="10">
        <v>1.89</v>
      </c>
      <c r="I32" s="281">
        <v>2575.14</v>
      </c>
      <c r="J32" s="267"/>
      <c r="O32" s="263"/>
    </row>
    <row r="33" spans="1:18" ht="19.5" customHeight="1">
      <c r="A33" s="347" t="s">
        <v>38</v>
      </c>
      <c r="B33" s="348"/>
      <c r="C33" s="348"/>
      <c r="D33" s="349"/>
      <c r="E33" s="275"/>
      <c r="F33" s="272"/>
      <c r="G33" s="276"/>
      <c r="H33" s="276"/>
      <c r="I33" s="277">
        <v>42762.59</v>
      </c>
      <c r="J33" s="274">
        <v>0.19754794832595413</v>
      </c>
      <c r="O33" s="263"/>
    </row>
    <row r="34" spans="1:18" ht="15" customHeight="1">
      <c r="A34" s="351"/>
      <c r="B34" s="352"/>
      <c r="C34" s="352"/>
      <c r="D34" s="352"/>
      <c r="E34" s="285"/>
      <c r="F34" s="285"/>
      <c r="G34" s="285"/>
      <c r="H34" s="285"/>
      <c r="I34" s="285"/>
      <c r="J34" s="286"/>
      <c r="O34" s="263"/>
    </row>
    <row r="35" spans="1:18" ht="19.5" customHeight="1">
      <c r="A35" s="26">
        <v>4</v>
      </c>
      <c r="B35" s="26"/>
      <c r="C35" s="26"/>
      <c r="D35" s="38" t="s">
        <v>315</v>
      </c>
      <c r="E35" s="26"/>
      <c r="F35" s="26"/>
      <c r="G35" s="26"/>
      <c r="H35" s="26"/>
      <c r="I35" s="26"/>
      <c r="J35" s="26"/>
      <c r="K35" s="61"/>
      <c r="N35" s="61"/>
      <c r="O35" s="263"/>
    </row>
    <row r="36" spans="1:18" ht="19.5" customHeight="1">
      <c r="A36" s="26"/>
      <c r="B36" s="15"/>
      <c r="C36" s="26"/>
      <c r="D36" s="15" t="s">
        <v>45</v>
      </c>
      <c r="E36" s="26"/>
      <c r="F36" s="12"/>
      <c r="G36" s="12"/>
      <c r="H36" s="13"/>
      <c r="I36" s="231"/>
      <c r="J36" s="42"/>
      <c r="O36" s="263"/>
    </row>
    <row r="37" spans="1:18" ht="45">
      <c r="A37" s="7" t="s">
        <v>68</v>
      </c>
      <c r="B37" s="7" t="s">
        <v>332</v>
      </c>
      <c r="C37" s="7">
        <v>96396</v>
      </c>
      <c r="D37" s="17" t="s">
        <v>339</v>
      </c>
      <c r="E37" s="7" t="s">
        <v>26</v>
      </c>
      <c r="F37" s="9">
        <v>272.5</v>
      </c>
      <c r="G37" s="10">
        <v>96.45</v>
      </c>
      <c r="H37" s="10">
        <v>122.25</v>
      </c>
      <c r="I37" s="281">
        <v>33313.129999999997</v>
      </c>
      <c r="J37" s="267"/>
      <c r="K37" s="61"/>
      <c r="L37" s="61"/>
      <c r="N37" s="61"/>
      <c r="O37" s="263"/>
    </row>
    <row r="38" spans="1:18" s="290" customFormat="1" ht="31.5" customHeight="1">
      <c r="A38" s="7" t="s">
        <v>70</v>
      </c>
      <c r="B38" s="7" t="s">
        <v>332</v>
      </c>
      <c r="C38" s="7">
        <v>93590</v>
      </c>
      <c r="D38" s="17" t="s">
        <v>322</v>
      </c>
      <c r="E38" s="7" t="s">
        <v>323</v>
      </c>
      <c r="F38" s="9">
        <v>8992.5</v>
      </c>
      <c r="G38" s="10">
        <v>0.65</v>
      </c>
      <c r="H38" s="10">
        <v>0.82</v>
      </c>
      <c r="I38" s="281">
        <v>7373.85</v>
      </c>
      <c r="J38" s="41"/>
      <c r="K38" s="298"/>
      <c r="M38" s="291"/>
      <c r="O38" s="291"/>
    </row>
    <row r="39" spans="1:18" ht="19.5" customHeight="1">
      <c r="A39" s="26"/>
      <c r="B39" s="15"/>
      <c r="C39" s="26"/>
      <c r="D39" s="15" t="s">
        <v>288</v>
      </c>
      <c r="E39" s="26"/>
      <c r="F39" s="12"/>
      <c r="G39" s="12"/>
      <c r="H39" s="13"/>
      <c r="I39" s="231"/>
      <c r="J39" s="42"/>
      <c r="O39" s="263"/>
    </row>
    <row r="40" spans="1:18" ht="19.5" customHeight="1">
      <c r="A40" s="7" t="s">
        <v>73</v>
      </c>
      <c r="B40" s="7" t="s">
        <v>332</v>
      </c>
      <c r="C40" s="7">
        <v>96401</v>
      </c>
      <c r="D40" s="17" t="s">
        <v>350</v>
      </c>
      <c r="E40" s="7" t="s">
        <v>22</v>
      </c>
      <c r="F40" s="9">
        <v>1362.51</v>
      </c>
      <c r="G40" s="10">
        <v>6.51</v>
      </c>
      <c r="H40" s="10">
        <v>8.25</v>
      </c>
      <c r="I40" s="281">
        <v>11240.71</v>
      </c>
      <c r="J40" s="41"/>
      <c r="K40" s="61"/>
      <c r="O40" s="263"/>
    </row>
    <row r="41" spans="1:18" ht="30">
      <c r="A41" s="7" t="s">
        <v>256</v>
      </c>
      <c r="B41" s="7" t="s">
        <v>332</v>
      </c>
      <c r="C41" s="7">
        <v>96402</v>
      </c>
      <c r="D41" s="17" t="s">
        <v>351</v>
      </c>
      <c r="E41" s="7" t="s">
        <v>22</v>
      </c>
      <c r="F41" s="9">
        <v>1362.51</v>
      </c>
      <c r="G41" s="10">
        <v>1.72</v>
      </c>
      <c r="H41" s="10">
        <v>2.1800000000000002</v>
      </c>
      <c r="I41" s="281">
        <v>2970.27</v>
      </c>
      <c r="J41" s="41"/>
      <c r="O41" s="263"/>
    </row>
    <row r="42" spans="1:18" ht="45">
      <c r="A42" s="7" t="s">
        <v>257</v>
      </c>
      <c r="B42" s="7" t="s">
        <v>332</v>
      </c>
      <c r="C42" s="49">
        <v>95995</v>
      </c>
      <c r="D42" s="17" t="s">
        <v>352</v>
      </c>
      <c r="E42" s="7" t="s">
        <v>26</v>
      </c>
      <c r="F42" s="9">
        <v>40.880000000000003</v>
      </c>
      <c r="G42" s="10">
        <v>912.76</v>
      </c>
      <c r="H42" s="10">
        <v>1156.92</v>
      </c>
      <c r="I42" s="281">
        <v>47294.89</v>
      </c>
      <c r="J42" s="41"/>
      <c r="K42" s="61"/>
      <c r="O42" s="263"/>
    </row>
    <row r="43" spans="1:18" s="290" customFormat="1" ht="33.75" customHeight="1">
      <c r="A43" s="7" t="s">
        <v>258</v>
      </c>
      <c r="B43" s="7" t="s">
        <v>332</v>
      </c>
      <c r="C43" s="7">
        <v>93590</v>
      </c>
      <c r="D43" s="17" t="s">
        <v>322</v>
      </c>
      <c r="E43" s="7" t="s">
        <v>323</v>
      </c>
      <c r="F43" s="9">
        <v>1349.04</v>
      </c>
      <c r="G43" s="10">
        <v>0.65</v>
      </c>
      <c r="H43" s="10">
        <v>0.82</v>
      </c>
      <c r="I43" s="281">
        <v>1106.21</v>
      </c>
      <c r="J43" s="41"/>
      <c r="K43" s="298"/>
      <c r="M43" s="291"/>
      <c r="O43" s="291"/>
    </row>
    <row r="44" spans="1:18" s="290" customFormat="1" ht="19.5" customHeight="1">
      <c r="A44" s="304" t="s">
        <v>353</v>
      </c>
      <c r="B44" s="7"/>
      <c r="C44" s="7"/>
      <c r="D44" s="17" t="s">
        <v>354</v>
      </c>
      <c r="E44" s="7" t="s">
        <v>355</v>
      </c>
      <c r="F44" s="9">
        <v>1</v>
      </c>
      <c r="G44" s="10">
        <v>180.02</v>
      </c>
      <c r="H44" s="10">
        <v>228.18</v>
      </c>
      <c r="I44" s="281">
        <v>228.18</v>
      </c>
      <c r="J44" s="41"/>
      <c r="K44" s="298"/>
      <c r="M44" s="291"/>
      <c r="O44" s="291"/>
    </row>
    <row r="45" spans="1:18" ht="19.5" customHeight="1">
      <c r="A45" s="350" t="s">
        <v>38</v>
      </c>
      <c r="B45" s="350"/>
      <c r="C45" s="350"/>
      <c r="D45" s="350"/>
      <c r="E45" s="271"/>
      <c r="F45" s="272"/>
      <c r="G45" s="272"/>
      <c r="H45" s="273"/>
      <c r="I45" s="273">
        <v>103527.23999999999</v>
      </c>
      <c r="J45" s="274">
        <v>0.47825900764777463</v>
      </c>
      <c r="K45" s="212"/>
      <c r="O45" s="263"/>
      <c r="Q45" s="212"/>
      <c r="R45" s="61"/>
    </row>
    <row r="46" spans="1:18" ht="15" customHeight="1">
      <c r="A46" s="354"/>
      <c r="B46" s="355"/>
      <c r="C46" s="355"/>
      <c r="D46" s="355"/>
      <c r="E46" s="305"/>
      <c r="F46" s="305"/>
      <c r="G46" s="305"/>
      <c r="H46" s="305"/>
      <c r="I46" s="305"/>
      <c r="J46" s="306"/>
      <c r="K46" s="212"/>
      <c r="O46" s="263"/>
      <c r="Q46" s="212"/>
      <c r="R46" s="61"/>
    </row>
    <row r="47" spans="1:18" ht="19.5" customHeight="1">
      <c r="A47" s="26">
        <v>5</v>
      </c>
      <c r="B47" s="15"/>
      <c r="C47" s="26"/>
      <c r="D47" s="15" t="s">
        <v>299</v>
      </c>
      <c r="E47" s="15"/>
      <c r="F47" s="15"/>
      <c r="G47" s="15"/>
      <c r="H47" s="15"/>
      <c r="I47" s="15"/>
      <c r="J47" s="15"/>
      <c r="K47" s="212"/>
      <c r="O47" s="263"/>
      <c r="Q47" s="212"/>
      <c r="R47" s="61"/>
    </row>
    <row r="48" spans="1:18" ht="19.5" customHeight="1">
      <c r="A48" s="7" t="s">
        <v>76</v>
      </c>
      <c r="B48" s="7" t="s">
        <v>333</v>
      </c>
      <c r="C48" s="7" t="s">
        <v>324</v>
      </c>
      <c r="D48" s="292" t="s">
        <v>325</v>
      </c>
      <c r="E48" s="7" t="s">
        <v>9</v>
      </c>
      <c r="F48" s="9"/>
      <c r="G48" s="9">
        <v>2126.7199999999998</v>
      </c>
      <c r="H48" s="10">
        <v>2695.62</v>
      </c>
      <c r="I48" s="202">
        <v>0</v>
      </c>
      <c r="J48" s="267"/>
      <c r="K48" s="212"/>
      <c r="O48" s="263"/>
      <c r="Q48" s="212"/>
      <c r="R48" s="61"/>
    </row>
    <row r="49" spans="1:18" ht="19.5" customHeight="1">
      <c r="A49" s="7" t="s">
        <v>79</v>
      </c>
      <c r="B49" s="7" t="s">
        <v>333</v>
      </c>
      <c r="C49" s="7" t="s">
        <v>300</v>
      </c>
      <c r="D49" s="292" t="s">
        <v>301</v>
      </c>
      <c r="E49" s="7" t="s">
        <v>9</v>
      </c>
      <c r="F49" s="9">
        <v>2</v>
      </c>
      <c r="G49" s="9">
        <v>3453.05</v>
      </c>
      <c r="H49" s="10">
        <v>4376.74</v>
      </c>
      <c r="I49" s="202">
        <v>8753.48</v>
      </c>
      <c r="J49" s="267"/>
      <c r="K49" s="212"/>
      <c r="O49" s="263"/>
      <c r="Q49" s="212"/>
      <c r="R49" s="61"/>
    </row>
    <row r="50" spans="1:18" ht="34.5" customHeight="1">
      <c r="A50" s="7" t="s">
        <v>81</v>
      </c>
      <c r="B50" s="7" t="s">
        <v>332</v>
      </c>
      <c r="C50" s="7">
        <v>72915</v>
      </c>
      <c r="D50" s="292" t="s">
        <v>302</v>
      </c>
      <c r="E50" s="7" t="s">
        <v>26</v>
      </c>
      <c r="F50" s="9"/>
      <c r="G50" s="9">
        <v>9.48</v>
      </c>
      <c r="H50" s="10">
        <v>12.02</v>
      </c>
      <c r="I50" s="281">
        <v>0</v>
      </c>
      <c r="J50" s="267"/>
      <c r="K50" s="212"/>
      <c r="O50" s="263"/>
      <c r="Q50" s="212"/>
      <c r="R50" s="61"/>
    </row>
    <row r="51" spans="1:18" ht="30">
      <c r="A51" s="7" t="s">
        <v>84</v>
      </c>
      <c r="B51" s="7" t="s">
        <v>332</v>
      </c>
      <c r="C51" s="7">
        <v>93382</v>
      </c>
      <c r="D51" s="292" t="s">
        <v>318</v>
      </c>
      <c r="E51" s="7" t="s">
        <v>26</v>
      </c>
      <c r="F51" s="9"/>
      <c r="G51" s="9">
        <v>26.44</v>
      </c>
      <c r="H51" s="10">
        <v>33.51</v>
      </c>
      <c r="I51" s="281">
        <v>0</v>
      </c>
      <c r="J51" s="267"/>
      <c r="K51" s="212"/>
      <c r="O51" s="263"/>
      <c r="Q51" s="212"/>
      <c r="R51" s="61"/>
    </row>
    <row r="52" spans="1:18" ht="45.75">
      <c r="A52" s="7" t="s">
        <v>86</v>
      </c>
      <c r="B52" s="7" t="s">
        <v>332</v>
      </c>
      <c r="C52" s="7">
        <v>94116</v>
      </c>
      <c r="D52" s="25" t="s">
        <v>316</v>
      </c>
      <c r="E52" s="7" t="s">
        <v>26</v>
      </c>
      <c r="F52" s="9"/>
      <c r="G52" s="10">
        <v>129.13999999999999</v>
      </c>
      <c r="H52" s="10">
        <v>163.68</v>
      </c>
      <c r="I52" s="281">
        <v>0</v>
      </c>
      <c r="J52" s="267"/>
      <c r="K52" s="212"/>
      <c r="O52" s="263"/>
      <c r="Q52" s="212"/>
      <c r="R52" s="61"/>
    </row>
    <row r="53" spans="1:18" ht="60">
      <c r="A53" s="7" t="s">
        <v>89</v>
      </c>
      <c r="B53" s="7" t="s">
        <v>332</v>
      </c>
      <c r="C53" s="7">
        <v>92210</v>
      </c>
      <c r="D53" s="292" t="s">
        <v>303</v>
      </c>
      <c r="E53" s="7" t="s">
        <v>63</v>
      </c>
      <c r="F53" s="9"/>
      <c r="G53" s="9">
        <v>91.26</v>
      </c>
      <c r="H53" s="10">
        <v>115.67</v>
      </c>
      <c r="I53" s="281">
        <v>0</v>
      </c>
      <c r="J53" s="267"/>
      <c r="K53" s="212"/>
      <c r="O53" s="263"/>
      <c r="Q53" s="212"/>
      <c r="R53" s="61"/>
    </row>
    <row r="54" spans="1:18" ht="60" customHeight="1">
      <c r="A54" s="7" t="s">
        <v>91</v>
      </c>
      <c r="B54" s="7" t="s">
        <v>332</v>
      </c>
      <c r="C54" s="7">
        <v>92212</v>
      </c>
      <c r="D54" s="292" t="s">
        <v>304</v>
      </c>
      <c r="E54" s="7" t="s">
        <v>63</v>
      </c>
      <c r="F54" s="9"/>
      <c r="G54" s="9">
        <v>148.13999999999999</v>
      </c>
      <c r="H54" s="10">
        <v>187.77</v>
      </c>
      <c r="I54" s="281">
        <v>0</v>
      </c>
      <c r="J54" s="267"/>
      <c r="K54" s="212"/>
      <c r="O54" s="263"/>
      <c r="Q54" s="212"/>
      <c r="R54" s="61"/>
    </row>
    <row r="55" spans="1:18" ht="60" customHeight="1">
      <c r="A55" s="7" t="s">
        <v>306</v>
      </c>
      <c r="B55" s="7" t="s">
        <v>332</v>
      </c>
      <c r="C55" s="7">
        <v>92214</v>
      </c>
      <c r="D55" s="292" t="s">
        <v>340</v>
      </c>
      <c r="E55" s="7" t="s">
        <v>63</v>
      </c>
      <c r="F55" s="9"/>
      <c r="G55" s="9">
        <v>221.94</v>
      </c>
      <c r="H55" s="10">
        <v>281.31</v>
      </c>
      <c r="I55" s="281">
        <v>0</v>
      </c>
      <c r="J55" s="267"/>
      <c r="K55" s="212"/>
      <c r="O55" s="263"/>
      <c r="Q55" s="212"/>
      <c r="R55" s="61"/>
    </row>
    <row r="56" spans="1:18" ht="60" customHeight="1">
      <c r="A56" s="7" t="s">
        <v>307</v>
      </c>
      <c r="B56" s="7" t="s">
        <v>332</v>
      </c>
      <c r="C56" s="7">
        <v>92216</v>
      </c>
      <c r="D56" s="292" t="s">
        <v>341</v>
      </c>
      <c r="E56" s="7" t="s">
        <v>63</v>
      </c>
      <c r="F56" s="9"/>
      <c r="G56" s="9">
        <v>299.33</v>
      </c>
      <c r="H56" s="10">
        <v>379.4</v>
      </c>
      <c r="I56" s="281">
        <v>0</v>
      </c>
      <c r="J56" s="267"/>
      <c r="K56" s="212"/>
      <c r="O56" s="263"/>
      <c r="Q56" s="212"/>
      <c r="R56" s="61"/>
    </row>
    <row r="57" spans="1:18" ht="45">
      <c r="A57" s="7" t="s">
        <v>310</v>
      </c>
      <c r="B57" s="7" t="s">
        <v>332</v>
      </c>
      <c r="C57" s="7" t="s">
        <v>326</v>
      </c>
      <c r="D57" s="292" t="s">
        <v>327</v>
      </c>
      <c r="E57" s="7" t="s">
        <v>9</v>
      </c>
      <c r="F57" s="9"/>
      <c r="G57" s="9">
        <v>572.09</v>
      </c>
      <c r="H57" s="10">
        <v>725.12</v>
      </c>
      <c r="I57" s="281">
        <v>0</v>
      </c>
      <c r="J57" s="267"/>
      <c r="K57" s="212"/>
      <c r="O57" s="263"/>
      <c r="Q57" s="212"/>
      <c r="R57" s="61"/>
    </row>
    <row r="58" spans="1:18" ht="45">
      <c r="A58" s="7" t="s">
        <v>311</v>
      </c>
      <c r="B58" s="7" t="s">
        <v>332</v>
      </c>
      <c r="C58" s="7" t="s">
        <v>309</v>
      </c>
      <c r="D58" s="292" t="s">
        <v>308</v>
      </c>
      <c r="E58" s="7" t="s">
        <v>9</v>
      </c>
      <c r="F58" s="9"/>
      <c r="G58" s="9">
        <v>933.69</v>
      </c>
      <c r="H58" s="10">
        <v>1183.45</v>
      </c>
      <c r="I58" s="281">
        <v>0</v>
      </c>
      <c r="J58" s="267"/>
      <c r="K58" s="212"/>
      <c r="O58" s="263"/>
      <c r="Q58" s="212"/>
      <c r="R58" s="61"/>
    </row>
    <row r="59" spans="1:18" ht="45">
      <c r="A59" s="7" t="s">
        <v>342</v>
      </c>
      <c r="B59" s="7" t="s">
        <v>332</v>
      </c>
      <c r="C59" s="7" t="s">
        <v>343</v>
      </c>
      <c r="D59" s="292" t="s">
        <v>344</v>
      </c>
      <c r="E59" s="7" t="s">
        <v>9</v>
      </c>
      <c r="F59" s="9"/>
      <c r="G59" s="9">
        <v>1394.84</v>
      </c>
      <c r="H59" s="10">
        <v>1767.96</v>
      </c>
      <c r="I59" s="281">
        <v>0</v>
      </c>
      <c r="J59" s="267"/>
      <c r="K59" s="212"/>
      <c r="O59" s="263"/>
      <c r="Q59" s="212"/>
      <c r="R59" s="61"/>
    </row>
    <row r="60" spans="1:18" ht="45" customHeight="1">
      <c r="A60" s="7" t="s">
        <v>345</v>
      </c>
      <c r="B60" s="7" t="s">
        <v>332</v>
      </c>
      <c r="C60" s="7" t="s">
        <v>346</v>
      </c>
      <c r="D60" s="292" t="s">
        <v>347</v>
      </c>
      <c r="E60" s="7" t="s">
        <v>9</v>
      </c>
      <c r="F60" s="9"/>
      <c r="G60" s="9">
        <v>1961.85</v>
      </c>
      <c r="H60" s="10">
        <v>2486.64</v>
      </c>
      <c r="I60" s="281">
        <v>0</v>
      </c>
      <c r="J60" s="267"/>
      <c r="K60" s="212"/>
      <c r="O60" s="263"/>
      <c r="Q60" s="212"/>
      <c r="R60" s="61"/>
    </row>
    <row r="61" spans="1:18" ht="30">
      <c r="A61" s="7" t="s">
        <v>348</v>
      </c>
      <c r="B61" s="7" t="s">
        <v>332</v>
      </c>
      <c r="C61" s="7">
        <v>94293</v>
      </c>
      <c r="D61" s="292" t="s">
        <v>305</v>
      </c>
      <c r="E61" s="7" t="s">
        <v>63</v>
      </c>
      <c r="F61" s="9">
        <v>10</v>
      </c>
      <c r="G61" s="9">
        <v>106.05</v>
      </c>
      <c r="H61" s="10">
        <v>134.41999999999999</v>
      </c>
      <c r="I61" s="281">
        <v>1344.2</v>
      </c>
      <c r="J61" s="267"/>
      <c r="K61" s="212"/>
      <c r="O61" s="263"/>
      <c r="Q61" s="212"/>
      <c r="R61" s="61"/>
    </row>
    <row r="62" spans="1:18" ht="19.5" customHeight="1">
      <c r="A62" s="350" t="s">
        <v>38</v>
      </c>
      <c r="B62" s="350"/>
      <c r="C62" s="350"/>
      <c r="D62" s="350"/>
      <c r="E62" s="271"/>
      <c r="F62" s="272"/>
      <c r="G62" s="272"/>
      <c r="H62" s="273"/>
      <c r="I62" s="273">
        <v>10097.68</v>
      </c>
      <c r="J62" s="274">
        <v>4.664768824460868E-2</v>
      </c>
      <c r="K62" s="212"/>
      <c r="O62" s="263"/>
      <c r="Q62" s="212"/>
      <c r="R62" s="61"/>
    </row>
    <row r="63" spans="1:18" ht="15" customHeight="1">
      <c r="A63" s="351"/>
      <c r="B63" s="352"/>
      <c r="C63" s="352"/>
      <c r="D63" s="352"/>
      <c r="E63" s="285"/>
      <c r="F63" s="285"/>
      <c r="G63" s="285"/>
      <c r="H63" s="285"/>
      <c r="I63" s="285"/>
      <c r="J63" s="286"/>
      <c r="K63" s="212"/>
      <c r="O63" s="263"/>
      <c r="Q63" s="212"/>
      <c r="R63" s="61"/>
    </row>
    <row r="64" spans="1:18" ht="19.5" customHeight="1">
      <c r="A64" s="26">
        <v>6</v>
      </c>
      <c r="B64" s="15"/>
      <c r="C64" s="26"/>
      <c r="D64" s="15" t="s">
        <v>294</v>
      </c>
      <c r="E64" s="15"/>
      <c r="F64" s="15"/>
      <c r="G64" s="15"/>
      <c r="H64" s="15"/>
      <c r="I64" s="15"/>
      <c r="J64" s="15"/>
      <c r="K64" s="212"/>
      <c r="O64" s="263"/>
      <c r="Q64" s="212"/>
      <c r="R64" s="61"/>
    </row>
    <row r="65" spans="1:18" ht="30">
      <c r="A65" s="7" t="s">
        <v>184</v>
      </c>
      <c r="B65" s="7" t="s">
        <v>332</v>
      </c>
      <c r="C65" s="7">
        <v>13521</v>
      </c>
      <c r="D65" s="292" t="s">
        <v>349</v>
      </c>
      <c r="E65" s="7" t="s">
        <v>9</v>
      </c>
      <c r="F65" s="9">
        <v>2</v>
      </c>
      <c r="G65" s="9">
        <v>99</v>
      </c>
      <c r="H65" s="10">
        <v>125.48</v>
      </c>
      <c r="I65" s="281">
        <v>250.96</v>
      </c>
      <c r="J65" s="267"/>
      <c r="K65" s="212"/>
      <c r="O65" s="263"/>
      <c r="Q65" s="212"/>
      <c r="R65" s="61"/>
    </row>
    <row r="66" spans="1:18" ht="30">
      <c r="A66" s="7" t="s">
        <v>185</v>
      </c>
      <c r="B66" s="7" t="s">
        <v>332</v>
      </c>
      <c r="C66" s="7">
        <v>72947</v>
      </c>
      <c r="D66" s="17" t="s">
        <v>69</v>
      </c>
      <c r="E66" s="7" t="s">
        <v>22</v>
      </c>
      <c r="F66" s="9">
        <v>28</v>
      </c>
      <c r="G66" s="9">
        <v>15.02</v>
      </c>
      <c r="H66" s="10">
        <v>19.04</v>
      </c>
      <c r="I66" s="281">
        <v>533.12</v>
      </c>
      <c r="J66" s="267"/>
      <c r="K66" s="212"/>
      <c r="O66" s="263"/>
      <c r="Q66" s="212"/>
      <c r="R66" s="61"/>
    </row>
    <row r="67" spans="1:18" ht="30.75" customHeight="1">
      <c r="A67" s="7" t="s">
        <v>186</v>
      </c>
      <c r="B67" s="7" t="s">
        <v>333</v>
      </c>
      <c r="C67" s="7" t="s">
        <v>295</v>
      </c>
      <c r="D67" s="292" t="s">
        <v>296</v>
      </c>
      <c r="E67" s="7" t="s">
        <v>22</v>
      </c>
      <c r="F67" s="9">
        <v>1.18</v>
      </c>
      <c r="G67" s="9">
        <v>691.26</v>
      </c>
      <c r="H67" s="10">
        <v>876.17</v>
      </c>
      <c r="I67" s="202">
        <v>1033.8800000000001</v>
      </c>
      <c r="J67" s="267"/>
      <c r="K67" s="212"/>
      <c r="O67" s="263"/>
      <c r="Q67" s="212"/>
      <c r="R67" s="61"/>
    </row>
    <row r="68" spans="1:18" ht="30">
      <c r="A68" s="7" t="s">
        <v>187</v>
      </c>
      <c r="B68" s="7" t="s">
        <v>333</v>
      </c>
      <c r="C68" s="7" t="s">
        <v>297</v>
      </c>
      <c r="D68" s="292" t="s">
        <v>298</v>
      </c>
      <c r="E68" s="7" t="s">
        <v>63</v>
      </c>
      <c r="F68" s="9">
        <v>7.2</v>
      </c>
      <c r="G68" s="9">
        <v>146.82</v>
      </c>
      <c r="H68" s="10">
        <v>186.09</v>
      </c>
      <c r="I68" s="202">
        <v>1339.85</v>
      </c>
      <c r="J68" s="267"/>
      <c r="K68" s="212"/>
      <c r="O68" s="263"/>
      <c r="Q68" s="212"/>
      <c r="R68" s="61"/>
    </row>
    <row r="69" spans="1:18" ht="19.5" customHeight="1">
      <c r="A69" s="350" t="s">
        <v>38</v>
      </c>
      <c r="B69" s="350"/>
      <c r="C69" s="350"/>
      <c r="D69" s="350"/>
      <c r="E69" s="271"/>
      <c r="F69" s="272"/>
      <c r="G69" s="272"/>
      <c r="H69" s="273"/>
      <c r="I69" s="273">
        <v>3157.81</v>
      </c>
      <c r="J69" s="274">
        <v>1.4587958463301246E-2</v>
      </c>
      <c r="K69" s="212"/>
      <c r="O69" s="263"/>
      <c r="Q69" s="212"/>
      <c r="R69" s="61"/>
    </row>
    <row r="70" spans="1:18" ht="15" customHeight="1">
      <c r="A70" s="351"/>
      <c r="B70" s="352"/>
      <c r="C70" s="352"/>
      <c r="D70" s="352"/>
      <c r="E70" s="285"/>
      <c r="F70" s="285"/>
      <c r="G70" s="285"/>
      <c r="H70" s="285"/>
      <c r="I70" s="285"/>
      <c r="J70" s="286"/>
      <c r="K70" s="212"/>
      <c r="O70" s="263"/>
      <c r="Q70" s="212"/>
      <c r="R70" s="61"/>
    </row>
    <row r="71" spans="1:18" ht="22.5" customHeight="1">
      <c r="A71" s="350" t="s">
        <v>197</v>
      </c>
      <c r="B71" s="350"/>
      <c r="C71" s="350"/>
      <c r="D71" s="350"/>
      <c r="E71" s="350"/>
      <c r="F71" s="350"/>
      <c r="G71" s="350"/>
      <c r="H71" s="350"/>
      <c r="I71" s="273">
        <v>216466.89</v>
      </c>
      <c r="J71" s="274">
        <v>0.52174099235222537</v>
      </c>
      <c r="K71" s="279"/>
    </row>
    <row r="72" spans="1:18" ht="17.25" customHeight="1">
      <c r="A72" s="296"/>
      <c r="B72" s="296"/>
      <c r="C72" s="301"/>
      <c r="D72" s="296"/>
      <c r="E72" s="296"/>
      <c r="F72" s="296"/>
      <c r="G72" s="296"/>
      <c r="H72" s="296"/>
      <c r="I72" s="268"/>
      <c r="J72" s="269"/>
      <c r="K72" s="279"/>
    </row>
    <row r="73" spans="1:18" ht="15.75" customHeight="1">
      <c r="A73" s="353" t="s">
        <v>356</v>
      </c>
      <c r="B73" s="353"/>
      <c r="C73" s="353"/>
      <c r="D73" s="353"/>
      <c r="E73" s="293"/>
      <c r="F73" s="293"/>
      <c r="G73" s="335" t="s">
        <v>357</v>
      </c>
      <c r="H73" s="335"/>
      <c r="I73" s="335"/>
      <c r="J73" s="335"/>
      <c r="K73" s="280"/>
    </row>
    <row r="74" spans="1:18" ht="15.75">
      <c r="A74" s="27"/>
      <c r="B74" s="27"/>
      <c r="C74" s="300"/>
      <c r="D74" s="27"/>
      <c r="E74" s="28"/>
      <c r="F74" s="27"/>
      <c r="G74" s="294"/>
      <c r="H74" s="294"/>
      <c r="I74" s="294"/>
      <c r="J74" s="294"/>
      <c r="K74" s="280"/>
    </row>
    <row r="75" spans="1:18" ht="15.75">
      <c r="A75" s="27"/>
      <c r="B75" s="27"/>
      <c r="C75" s="300"/>
      <c r="D75" s="27"/>
      <c r="E75" s="28"/>
      <c r="F75" s="27"/>
      <c r="G75" s="294"/>
      <c r="H75" s="294"/>
      <c r="I75" s="294"/>
      <c r="J75" s="294"/>
      <c r="K75" s="280"/>
    </row>
    <row r="76" spans="1:18" ht="15.75">
      <c r="A76" s="27"/>
      <c r="B76" s="27"/>
      <c r="C76" s="300"/>
      <c r="D76" s="27"/>
      <c r="E76" s="28"/>
      <c r="F76" s="27"/>
      <c r="G76" s="294"/>
      <c r="H76" s="294"/>
      <c r="I76" s="294"/>
      <c r="J76" s="294"/>
      <c r="K76" s="280"/>
    </row>
    <row r="77" spans="1:18" ht="15.75">
      <c r="A77" s="27"/>
      <c r="B77" s="27"/>
      <c r="C77" s="300"/>
      <c r="D77" s="27"/>
      <c r="E77" s="28"/>
      <c r="F77" s="27"/>
      <c r="G77" s="294"/>
      <c r="H77" s="294"/>
      <c r="I77" s="294"/>
      <c r="J77" s="294"/>
      <c r="K77" s="280"/>
    </row>
    <row r="78" spans="1:18" ht="15.75">
      <c r="A78" s="27"/>
      <c r="B78" s="27"/>
      <c r="C78" s="300"/>
      <c r="D78" s="27"/>
      <c r="E78" s="28"/>
      <c r="F78" s="27"/>
      <c r="G78" s="294"/>
      <c r="H78" s="294"/>
      <c r="I78" s="294"/>
      <c r="J78" s="294"/>
      <c r="K78" s="280"/>
    </row>
    <row r="79" spans="1:18" ht="17.25" customHeight="1">
      <c r="A79" s="27"/>
      <c r="B79" s="27"/>
      <c r="C79" s="300"/>
      <c r="D79" s="27"/>
      <c r="E79" s="28"/>
      <c r="F79" s="27"/>
      <c r="G79" s="294"/>
      <c r="H79" s="294"/>
      <c r="I79" s="287"/>
      <c r="J79" s="294"/>
      <c r="K79" s="280"/>
    </row>
    <row r="80" spans="1:18" ht="15.75">
      <c r="A80" s="334" t="s">
        <v>330</v>
      </c>
      <c r="B80" s="334"/>
      <c r="C80" s="334"/>
      <c r="D80" s="334"/>
      <c r="E80" s="334" t="s">
        <v>95</v>
      </c>
      <c r="F80" s="334"/>
      <c r="G80" s="334"/>
      <c r="H80" s="334"/>
      <c r="I80" s="334"/>
      <c r="J80" s="334"/>
      <c r="K80" s="1"/>
      <c r="L80" s="61"/>
    </row>
    <row r="81" spans="1:12">
      <c r="A81" s="346" t="s">
        <v>331</v>
      </c>
      <c r="B81" s="346"/>
      <c r="C81" s="346"/>
      <c r="D81" s="346"/>
      <c r="E81" s="346" t="s">
        <v>96</v>
      </c>
      <c r="F81" s="346"/>
      <c r="G81" s="346"/>
      <c r="H81" s="346"/>
      <c r="I81" s="346"/>
      <c r="J81" s="346"/>
      <c r="K81" s="1"/>
      <c r="L81" s="61"/>
    </row>
    <row r="82" spans="1:12">
      <c r="A82" s="265"/>
      <c r="B82" s="299"/>
      <c r="C82" s="302"/>
      <c r="D82" s="299"/>
      <c r="E82" s="299"/>
      <c r="F82" s="299"/>
    </row>
    <row r="83" spans="1:12">
      <c r="A83" s="266"/>
    </row>
  </sheetData>
  <mergeCells count="28">
    <mergeCell ref="A8:D8"/>
    <mergeCell ref="A9:D9"/>
    <mergeCell ref="A19:D19"/>
    <mergeCell ref="A20:D20"/>
    <mergeCell ref="A1:J1"/>
    <mergeCell ref="A2:J2"/>
    <mergeCell ref="A3:J3"/>
    <mergeCell ref="A4:A5"/>
    <mergeCell ref="B4:B5"/>
    <mergeCell ref="C4:C5"/>
    <mergeCell ref="D4:D5"/>
    <mergeCell ref="E4:E5"/>
    <mergeCell ref="F4:F5"/>
    <mergeCell ref="A33:D33"/>
    <mergeCell ref="A81:D81"/>
    <mergeCell ref="E81:J81"/>
    <mergeCell ref="A62:D62"/>
    <mergeCell ref="A63:D63"/>
    <mergeCell ref="A69:D69"/>
    <mergeCell ref="A70:D70"/>
    <mergeCell ref="A71:H71"/>
    <mergeCell ref="A73:D73"/>
    <mergeCell ref="G73:J73"/>
    <mergeCell ref="A80:D80"/>
    <mergeCell ref="E80:J80"/>
    <mergeCell ref="A45:D45"/>
    <mergeCell ref="A46:D46"/>
    <mergeCell ref="A34:D34"/>
  </mergeCells>
  <printOptions horizontalCentered="1"/>
  <pageMargins left="0.19685039370078741" right="0.19685039370078741" top="1.0236220472440944" bottom="0.11811023622047245" header="0.27559055118110237" footer="7.874015748031496E-2"/>
  <pageSetup paperSize="9" scale="50" fitToHeight="0" orientation="portrait" r:id="rId1"/>
  <headerFooter>
    <oddHeader>&amp;C&amp;G</oddHeader>
    <oddFooter>&amp;R&amp;P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opLeftCell="A31" workbookViewId="0">
      <selection activeCell="D47" sqref="D47"/>
    </sheetView>
  </sheetViews>
  <sheetFormatPr defaultRowHeight="15"/>
  <cols>
    <col min="1" max="1" width="61.7109375" bestFit="1" customWidth="1"/>
    <col min="2" max="2" width="10" customWidth="1"/>
    <col min="3" max="3" width="5.7109375" bestFit="1" customWidth="1"/>
    <col min="4" max="4" width="11.7109375" customWidth="1"/>
    <col min="5" max="5" width="11" customWidth="1"/>
  </cols>
  <sheetData>
    <row r="1" spans="1:6" ht="15.75">
      <c r="A1" s="361" t="s">
        <v>170</v>
      </c>
      <c r="B1" s="361"/>
      <c r="C1" s="361"/>
      <c r="D1" s="361"/>
      <c r="E1" s="361"/>
      <c r="F1" s="361"/>
    </row>
    <row r="2" spans="1:6" ht="15.75">
      <c r="A2" s="161"/>
      <c r="B2" s="161"/>
      <c r="C2" s="161"/>
      <c r="D2" s="85"/>
      <c r="E2" s="85"/>
      <c r="F2" s="85"/>
    </row>
    <row r="3" spans="1:6">
      <c r="A3" s="162" t="s">
        <v>132</v>
      </c>
      <c r="B3" s="163">
        <v>6.4</v>
      </c>
      <c r="C3" s="164" t="s">
        <v>22</v>
      </c>
      <c r="D3" s="165"/>
      <c r="E3" s="165"/>
      <c r="F3" s="165"/>
    </row>
    <row r="4" spans="1:6">
      <c r="A4" s="89"/>
      <c r="B4" s="166"/>
      <c r="C4" s="166"/>
      <c r="D4" s="165"/>
      <c r="E4" s="165"/>
      <c r="F4" s="165"/>
    </row>
    <row r="5" spans="1:6">
      <c r="A5" s="167" t="s">
        <v>133</v>
      </c>
      <c r="B5" s="166"/>
      <c r="C5" s="166"/>
      <c r="D5" s="165"/>
      <c r="E5" s="165"/>
      <c r="F5" s="165"/>
    </row>
    <row r="6" spans="1:6">
      <c r="A6" s="171" t="s">
        <v>178</v>
      </c>
      <c r="B6" s="163">
        <v>4953.22</v>
      </c>
      <c r="C6" s="170"/>
      <c r="D6" s="165"/>
      <c r="E6" s="188"/>
      <c r="F6" s="165"/>
    </row>
    <row r="7" spans="1:6">
      <c r="A7" s="168" t="s">
        <v>177</v>
      </c>
      <c r="B7" s="169">
        <f>359+185+107+54</f>
        <v>705</v>
      </c>
      <c r="C7" s="170" t="s">
        <v>63</v>
      </c>
      <c r="D7" s="165"/>
      <c r="E7" s="165">
        <v>698</v>
      </c>
      <c r="F7" s="165"/>
    </row>
    <row r="8" spans="1:6">
      <c r="A8" s="171" t="s">
        <v>134</v>
      </c>
      <c r="B8" s="169">
        <v>7</v>
      </c>
      <c r="C8" s="170" t="s">
        <v>63</v>
      </c>
      <c r="D8" s="165"/>
      <c r="E8" s="188">
        <v>7</v>
      </c>
      <c r="F8" s="165"/>
    </row>
    <row r="9" spans="1:6">
      <c r="A9" s="172" t="s">
        <v>135</v>
      </c>
      <c r="B9" s="163">
        <f>SUM(B7*B8)</f>
        <v>4935</v>
      </c>
      <c r="C9" s="164" t="s">
        <v>22</v>
      </c>
      <c r="D9" s="173"/>
      <c r="E9" s="165">
        <f>E7*E8</f>
        <v>4886</v>
      </c>
      <c r="F9" s="174"/>
    </row>
    <row r="10" spans="1:6">
      <c r="A10" s="171" t="s">
        <v>179</v>
      </c>
      <c r="B10" s="169">
        <f>B6-B9</f>
        <v>18.220000000000255</v>
      </c>
      <c r="C10" s="170" t="s">
        <v>22</v>
      </c>
      <c r="D10" s="165" t="s">
        <v>180</v>
      </c>
      <c r="E10" s="188"/>
      <c r="F10" s="165"/>
    </row>
    <row r="11" spans="1:6">
      <c r="A11" s="165"/>
      <c r="B11" s="165"/>
      <c r="C11" s="165"/>
      <c r="D11" s="165"/>
      <c r="E11" s="165"/>
      <c r="F11" s="165"/>
    </row>
    <row r="12" spans="1:6">
      <c r="A12" s="175" t="s">
        <v>136</v>
      </c>
      <c r="B12" s="165"/>
      <c r="C12" s="165"/>
      <c r="D12" s="165"/>
      <c r="E12" s="165"/>
      <c r="F12" s="165"/>
    </row>
    <row r="13" spans="1:6">
      <c r="A13" s="168" t="s">
        <v>181</v>
      </c>
      <c r="B13" s="176">
        <f>B6</f>
        <v>4953.22</v>
      </c>
      <c r="C13" s="177" t="s">
        <v>22</v>
      </c>
      <c r="D13" s="165"/>
      <c r="E13" s="165"/>
      <c r="F13" s="165"/>
    </row>
    <row r="14" spans="1:6">
      <c r="A14" s="171" t="s">
        <v>137</v>
      </c>
      <c r="B14" s="169">
        <v>0.2</v>
      </c>
      <c r="C14" s="170" t="s">
        <v>63</v>
      </c>
      <c r="D14" s="165"/>
      <c r="E14" s="165"/>
      <c r="F14" s="165"/>
    </row>
    <row r="15" spans="1:6">
      <c r="A15" s="178" t="s">
        <v>138</v>
      </c>
      <c r="B15" s="163">
        <f>B13*B14</f>
        <v>990.64400000000012</v>
      </c>
      <c r="C15" s="164" t="s">
        <v>26</v>
      </c>
      <c r="D15" s="165"/>
      <c r="E15" s="165"/>
      <c r="F15" s="165"/>
    </row>
    <row r="16" spans="1:6">
      <c r="A16" s="165"/>
      <c r="B16" s="165"/>
      <c r="C16" s="165"/>
      <c r="D16" s="165"/>
      <c r="E16" s="165"/>
      <c r="F16" s="165"/>
    </row>
    <row r="17" spans="1:6">
      <c r="A17" s="179" t="s">
        <v>139</v>
      </c>
      <c r="B17" s="163">
        <f>B6</f>
        <v>4953.22</v>
      </c>
      <c r="C17" s="180" t="s">
        <v>22</v>
      </c>
      <c r="D17" s="165"/>
      <c r="E17" s="165"/>
      <c r="F17" s="165"/>
    </row>
    <row r="18" spans="1:6">
      <c r="A18" s="179" t="s">
        <v>140</v>
      </c>
      <c r="B18" s="163">
        <f>B6</f>
        <v>4953.22</v>
      </c>
      <c r="C18" s="180" t="s">
        <v>22</v>
      </c>
      <c r="D18" s="165"/>
      <c r="E18" s="165"/>
      <c r="F18" s="165"/>
    </row>
    <row r="19" spans="1:6">
      <c r="A19" s="179" t="s">
        <v>141</v>
      </c>
      <c r="B19" s="163">
        <f>B6</f>
        <v>4953.22</v>
      </c>
      <c r="C19" s="180" t="s">
        <v>22</v>
      </c>
      <c r="D19" s="165"/>
      <c r="E19" s="165"/>
      <c r="F19" s="165"/>
    </row>
    <row r="20" spans="1:6">
      <c r="A20" s="181"/>
      <c r="B20" s="166"/>
      <c r="C20" s="166"/>
      <c r="D20" s="165"/>
      <c r="E20" s="165"/>
      <c r="F20" s="165"/>
    </row>
    <row r="21" spans="1:6">
      <c r="A21" s="182" t="s">
        <v>142</v>
      </c>
      <c r="B21" s="166"/>
      <c r="C21" s="166"/>
      <c r="D21" s="165"/>
      <c r="E21" s="165"/>
      <c r="F21" s="165"/>
    </row>
    <row r="22" spans="1:6">
      <c r="A22" s="179" t="s">
        <v>139</v>
      </c>
      <c r="B22" s="169">
        <f>SUM(B9)</f>
        <v>4935</v>
      </c>
      <c r="C22" s="183" t="s">
        <v>22</v>
      </c>
      <c r="D22" s="165"/>
      <c r="E22" s="165"/>
      <c r="F22" s="165"/>
    </row>
    <row r="23" spans="1:6">
      <c r="A23" s="171" t="s">
        <v>143</v>
      </c>
      <c r="B23" s="169">
        <v>0.2</v>
      </c>
      <c r="C23" s="170" t="s">
        <v>63</v>
      </c>
      <c r="D23" s="165"/>
      <c r="E23" s="165"/>
      <c r="F23" s="165"/>
    </row>
    <row r="24" spans="1:6">
      <c r="A24" s="172" t="s">
        <v>138</v>
      </c>
      <c r="B24" s="163">
        <f>SUM(B22*B23)</f>
        <v>987</v>
      </c>
      <c r="C24" s="164" t="s">
        <v>26</v>
      </c>
      <c r="D24" s="165"/>
      <c r="E24" s="165"/>
      <c r="F24" s="165"/>
    </row>
    <row r="25" spans="1:6">
      <c r="A25" s="165"/>
      <c r="B25" s="166"/>
      <c r="C25" s="166"/>
      <c r="D25" s="165"/>
      <c r="E25" s="165"/>
      <c r="F25" s="165"/>
    </row>
    <row r="26" spans="1:6">
      <c r="A26" s="175" t="s">
        <v>144</v>
      </c>
      <c r="B26" s="165"/>
      <c r="C26" s="165"/>
      <c r="D26" s="165"/>
      <c r="E26" s="165"/>
      <c r="F26" s="165"/>
    </row>
    <row r="27" spans="1:6">
      <c r="A27" s="171" t="s">
        <v>139</v>
      </c>
      <c r="B27" s="169">
        <f>SUM(B17)</f>
        <v>4953.22</v>
      </c>
      <c r="C27" s="170" t="s">
        <v>22</v>
      </c>
      <c r="D27" s="165"/>
      <c r="E27" s="165"/>
      <c r="F27" s="165"/>
    </row>
    <row r="28" spans="1:6">
      <c r="A28" s="171" t="s">
        <v>143</v>
      </c>
      <c r="B28" s="169">
        <v>0.03</v>
      </c>
      <c r="C28" s="170" t="s">
        <v>63</v>
      </c>
      <c r="D28" s="165"/>
      <c r="E28" s="165"/>
      <c r="F28" s="165"/>
    </row>
    <row r="29" spans="1:6">
      <c r="A29" s="171" t="s">
        <v>145</v>
      </c>
      <c r="B29" s="169">
        <v>2.4</v>
      </c>
      <c r="C29" s="170" t="s">
        <v>63</v>
      </c>
      <c r="D29" s="165"/>
      <c r="E29" s="165"/>
      <c r="F29" s="165"/>
    </row>
    <row r="30" spans="1:6">
      <c r="A30" s="178" t="s">
        <v>146</v>
      </c>
      <c r="B30" s="163">
        <f>SUM(B27*B28*B29)</f>
        <v>356.63183999999995</v>
      </c>
      <c r="C30" s="164" t="s">
        <v>56</v>
      </c>
      <c r="D30" s="165"/>
      <c r="E30" s="165"/>
      <c r="F30" s="165"/>
    </row>
    <row r="31" spans="1:6">
      <c r="A31" s="165"/>
      <c r="B31" s="165"/>
      <c r="C31" s="165"/>
      <c r="D31" s="165"/>
      <c r="E31" s="165"/>
      <c r="F31" s="165"/>
    </row>
    <row r="32" spans="1:6">
      <c r="A32" s="175" t="s">
        <v>147</v>
      </c>
      <c r="B32" s="165"/>
      <c r="C32" s="165"/>
      <c r="D32" s="165"/>
      <c r="E32" s="165"/>
      <c r="F32" s="165"/>
    </row>
    <row r="33" spans="1:6">
      <c r="A33" s="171" t="s">
        <v>139</v>
      </c>
      <c r="B33" s="169">
        <f>SUM(B17)</f>
        <v>4953.22</v>
      </c>
      <c r="C33" s="170" t="s">
        <v>63</v>
      </c>
      <c r="D33" s="165"/>
      <c r="E33" s="165"/>
      <c r="F33" s="165"/>
    </row>
    <row r="34" spans="1:6">
      <c r="A34" s="171" t="s">
        <v>143</v>
      </c>
      <c r="B34" s="169">
        <v>0.2</v>
      </c>
      <c r="C34" s="170" t="s">
        <v>63</v>
      </c>
      <c r="D34" s="165"/>
      <c r="E34" s="165"/>
      <c r="F34" s="165"/>
    </row>
    <row r="35" spans="1:6">
      <c r="A35" s="178" t="s">
        <v>146</v>
      </c>
      <c r="B35" s="163">
        <f>SUM(B33*B34)</f>
        <v>990.64400000000012</v>
      </c>
      <c r="C35" s="164" t="s">
        <v>26</v>
      </c>
      <c r="D35" s="165"/>
      <c r="E35" s="165"/>
      <c r="F35" s="165"/>
    </row>
    <row r="36" spans="1:6">
      <c r="A36" s="165"/>
      <c r="B36" s="165"/>
      <c r="C36" s="165"/>
      <c r="D36" s="165"/>
      <c r="E36" s="165"/>
      <c r="F36" s="165"/>
    </row>
    <row r="37" spans="1:6">
      <c r="A37" s="175" t="s">
        <v>148</v>
      </c>
      <c r="B37" s="165"/>
      <c r="C37" s="165"/>
      <c r="D37" s="165"/>
      <c r="E37" s="165"/>
      <c r="F37" s="165"/>
    </row>
    <row r="38" spans="1:6">
      <c r="A38" s="171" t="s">
        <v>149</v>
      </c>
      <c r="B38" s="169">
        <f>SUM(B30)</f>
        <v>356.63183999999995</v>
      </c>
      <c r="C38" s="170" t="s">
        <v>56</v>
      </c>
      <c r="D38" s="165"/>
      <c r="E38" s="165"/>
      <c r="F38" s="165"/>
    </row>
    <row r="39" spans="1:6">
      <c r="A39" s="171" t="s">
        <v>150</v>
      </c>
      <c r="B39" s="169">
        <v>30</v>
      </c>
      <c r="C39" s="170" t="s">
        <v>151</v>
      </c>
      <c r="D39" s="165"/>
      <c r="E39" s="165"/>
      <c r="F39" s="165"/>
    </row>
    <row r="40" spans="1:6">
      <c r="A40" s="178" t="s">
        <v>146</v>
      </c>
      <c r="B40" s="163">
        <f>SUM(B38*B39)</f>
        <v>10698.955199999999</v>
      </c>
      <c r="C40" s="164" t="s">
        <v>59</v>
      </c>
      <c r="D40" s="165"/>
      <c r="E40" s="165"/>
      <c r="F40" s="165"/>
    </row>
    <row r="41" spans="1:6">
      <c r="A41" s="165"/>
      <c r="B41" s="165"/>
      <c r="C41" s="165"/>
      <c r="D41" s="165"/>
      <c r="E41" s="165"/>
      <c r="F41" s="165"/>
    </row>
    <row r="42" spans="1:6">
      <c r="A42" s="175" t="s">
        <v>152</v>
      </c>
      <c r="B42" s="165"/>
      <c r="C42" s="165"/>
      <c r="D42" s="165"/>
      <c r="E42" s="165"/>
      <c r="F42" s="165"/>
    </row>
    <row r="43" spans="1:6">
      <c r="A43" s="171" t="s">
        <v>153</v>
      </c>
      <c r="B43" s="163">
        <v>2031.16</v>
      </c>
      <c r="C43" s="164" t="s">
        <v>63</v>
      </c>
      <c r="D43" s="166"/>
      <c r="E43" s="165"/>
      <c r="F43" s="165"/>
    </row>
    <row r="44" spans="1:6">
      <c r="A44" s="184"/>
      <c r="B44" s="185"/>
      <c r="C44" s="166"/>
      <c r="D44" s="166"/>
      <c r="E44" s="165"/>
      <c r="F44" s="165"/>
    </row>
    <row r="45" spans="1:6">
      <c r="A45" s="175" t="s">
        <v>154</v>
      </c>
      <c r="B45" s="166"/>
      <c r="C45" s="166"/>
      <c r="D45" s="166"/>
      <c r="E45" s="165"/>
      <c r="F45" s="165"/>
    </row>
    <row r="46" spans="1:6">
      <c r="A46" s="171" t="s">
        <v>155</v>
      </c>
      <c r="B46" s="169">
        <f>B7*2</f>
        <v>1410</v>
      </c>
      <c r="C46" s="169">
        <v>0.1</v>
      </c>
      <c r="D46" s="169">
        <f>SUM(B46*C46)</f>
        <v>141</v>
      </c>
      <c r="E46" s="170" t="s">
        <v>22</v>
      </c>
      <c r="F46" s="165"/>
    </row>
    <row r="47" spans="1:6">
      <c r="A47" s="171" t="s">
        <v>156</v>
      </c>
      <c r="B47" s="169">
        <f>7*0.4</f>
        <v>2.8000000000000003</v>
      </c>
      <c r="C47" s="170">
        <v>4</v>
      </c>
      <c r="D47" s="169">
        <f>B47*C47*4</f>
        <v>44.800000000000004</v>
      </c>
      <c r="E47" s="170" t="s">
        <v>22</v>
      </c>
      <c r="F47" s="165"/>
    </row>
    <row r="48" spans="1:6">
      <c r="A48" s="362" t="s">
        <v>157</v>
      </c>
      <c r="B48" s="362"/>
      <c r="C48" s="362"/>
      <c r="D48" s="163">
        <f>SUM(D46:D47)</f>
        <v>185.8</v>
      </c>
      <c r="E48" s="164" t="s">
        <v>22</v>
      </c>
      <c r="F48" s="165"/>
    </row>
    <row r="49" spans="1:6">
      <c r="A49" s="165"/>
      <c r="B49" s="165"/>
      <c r="C49" s="165"/>
      <c r="D49" s="165"/>
      <c r="E49" s="165"/>
      <c r="F49" s="165"/>
    </row>
    <row r="50" spans="1:6">
      <c r="A50" s="171" t="s">
        <v>158</v>
      </c>
      <c r="B50" s="169">
        <v>2</v>
      </c>
      <c r="C50" s="169">
        <v>1</v>
      </c>
      <c r="D50" s="163">
        <f>SUM(B50*C50)</f>
        <v>2</v>
      </c>
      <c r="E50" s="170" t="s">
        <v>9</v>
      </c>
      <c r="F50" s="171"/>
    </row>
    <row r="51" spans="1:6">
      <c r="A51" s="171" t="s">
        <v>159</v>
      </c>
      <c r="B51" s="169">
        <v>4</v>
      </c>
      <c r="C51" s="169">
        <v>1</v>
      </c>
      <c r="D51" s="163">
        <f>SUM(B51*C51)</f>
        <v>4</v>
      </c>
      <c r="E51" s="170" t="s">
        <v>9</v>
      </c>
      <c r="F51" s="171"/>
    </row>
    <row r="52" spans="1:6">
      <c r="A52" s="171" t="s">
        <v>160</v>
      </c>
      <c r="B52" s="169">
        <f>SUM(B7)</f>
        <v>705</v>
      </c>
      <c r="C52" s="169">
        <v>3.5</v>
      </c>
      <c r="D52" s="170">
        <v>2</v>
      </c>
      <c r="E52" s="164">
        <f>SUM(B52*C52*D52)</f>
        <v>4935</v>
      </c>
      <c r="F52" s="164" t="s">
        <v>22</v>
      </c>
    </row>
    <row r="53" spans="1:6">
      <c r="A53" s="171" t="s">
        <v>161</v>
      </c>
      <c r="B53" s="186">
        <f>SUM(B7)</f>
        <v>705</v>
      </c>
      <c r="C53" s="169">
        <v>1.4</v>
      </c>
      <c r="D53" s="170">
        <v>2</v>
      </c>
      <c r="E53" s="163">
        <f>SUM(B53*C53*D53)</f>
        <v>1973.9999999999998</v>
      </c>
      <c r="F53" s="164" t="s">
        <v>22</v>
      </c>
    </row>
    <row r="54" spans="1:6">
      <c r="A54" s="168" t="s">
        <v>162</v>
      </c>
      <c r="B54" s="186">
        <f>SUM(B7)</f>
        <v>705</v>
      </c>
      <c r="C54" s="169">
        <v>1.4</v>
      </c>
      <c r="D54" s="170">
        <v>2</v>
      </c>
      <c r="E54" s="163">
        <f>SUM(B54*C54*D54)*0.05</f>
        <v>98.699999999999989</v>
      </c>
      <c r="F54" s="164" t="s">
        <v>26</v>
      </c>
    </row>
    <row r="55" spans="1:6">
      <c r="A55" s="187" t="s">
        <v>163</v>
      </c>
      <c r="B55" s="169">
        <f>SUM(B7)</f>
        <v>705</v>
      </c>
      <c r="C55" s="169">
        <v>1.4</v>
      </c>
      <c r="D55" s="170">
        <v>2</v>
      </c>
      <c r="E55" s="170">
        <f t="shared" ref="E55" si="0">SUM(B55*C55*D55)</f>
        <v>1973.9999999999998</v>
      </c>
      <c r="F55" s="164" t="s">
        <v>22</v>
      </c>
    </row>
    <row r="56" spans="1:6">
      <c r="A56" s="171" t="s">
        <v>164</v>
      </c>
      <c r="B56" s="169">
        <v>2.04</v>
      </c>
      <c r="C56" s="169">
        <v>8</v>
      </c>
      <c r="D56" s="163">
        <f>SUM(B56*C56)</f>
        <v>16.32</v>
      </c>
      <c r="E56" s="163">
        <f>SUM(E55+D56)</f>
        <v>1990.3199999999997</v>
      </c>
      <c r="F56" s="164" t="s">
        <v>22</v>
      </c>
    </row>
    <row r="57" spans="1:6">
      <c r="A57" s="171" t="s">
        <v>165</v>
      </c>
      <c r="B57" s="169">
        <v>2.04</v>
      </c>
      <c r="C57" s="169">
        <f>SUM(C56)</f>
        <v>8</v>
      </c>
      <c r="D57" s="163">
        <f>SUM(B57*C57)</f>
        <v>16.32</v>
      </c>
      <c r="E57" s="164" t="s">
        <v>22</v>
      </c>
      <c r="F57" s="164"/>
    </row>
    <row r="58" spans="1:6">
      <c r="A58" s="187" t="s">
        <v>166</v>
      </c>
      <c r="B58" s="169">
        <f>SUM(B52)</f>
        <v>705</v>
      </c>
      <c r="C58" s="169">
        <v>0.5</v>
      </c>
      <c r="D58" s="170">
        <v>2</v>
      </c>
      <c r="E58" s="164">
        <f>SUM(B58*C58*D58)</f>
        <v>705</v>
      </c>
      <c r="F58" s="164" t="s">
        <v>22</v>
      </c>
    </row>
    <row r="59" spans="1:6">
      <c r="A59" s="187" t="s">
        <v>167</v>
      </c>
      <c r="B59" s="169">
        <f>SUM(B7)</f>
        <v>705</v>
      </c>
      <c r="C59" s="169">
        <f>SUM(B8)</f>
        <v>7</v>
      </c>
      <c r="D59" s="163">
        <f>SUM(B59*C59)</f>
        <v>4935</v>
      </c>
      <c r="E59" s="164" t="s">
        <v>22</v>
      </c>
      <c r="F59" s="171"/>
    </row>
    <row r="60" spans="1:6">
      <c r="A60" s="184" t="s">
        <v>168</v>
      </c>
      <c r="B60" s="188"/>
      <c r="C60" s="165"/>
      <c r="D60" s="165"/>
      <c r="E60" s="165"/>
      <c r="F60" s="165"/>
    </row>
  </sheetData>
  <mergeCells count="2">
    <mergeCell ref="A1:F1"/>
    <mergeCell ref="A48:C4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13" workbookViewId="0">
      <selection activeCell="C11" sqref="C11"/>
    </sheetView>
  </sheetViews>
  <sheetFormatPr defaultRowHeight="15"/>
  <cols>
    <col min="1" max="1" width="9.85546875" customWidth="1"/>
    <col min="2" max="2" width="12.140625" customWidth="1"/>
    <col min="3" max="4" width="68" customWidth="1"/>
    <col min="5" max="5" width="13" customWidth="1"/>
    <col min="6" max="6" width="10.42578125" customWidth="1"/>
  </cols>
  <sheetData>
    <row r="1" spans="1:6" ht="41.25" customHeight="1">
      <c r="A1" s="211" t="s">
        <v>216</v>
      </c>
      <c r="B1" s="211"/>
      <c r="C1" s="211"/>
      <c r="D1" s="211"/>
      <c r="E1" s="211"/>
      <c r="F1" s="211"/>
    </row>
    <row r="2" spans="1:6" ht="15.75">
      <c r="A2" s="197">
        <v>1</v>
      </c>
      <c r="B2" s="197">
        <v>1</v>
      </c>
      <c r="C2" s="198" t="s">
        <v>17</v>
      </c>
      <c r="D2" s="198" t="s">
        <v>217</v>
      </c>
      <c r="E2" s="199"/>
      <c r="F2" s="199"/>
    </row>
    <row r="3" spans="1:6">
      <c r="A3" s="8" t="s">
        <v>18</v>
      </c>
      <c r="B3" s="8" t="s">
        <v>20</v>
      </c>
      <c r="C3" s="17" t="s">
        <v>21</v>
      </c>
      <c r="D3" s="17" t="s">
        <v>218</v>
      </c>
      <c r="E3" s="9">
        <v>6.4</v>
      </c>
      <c r="F3" s="7" t="s">
        <v>22</v>
      </c>
    </row>
    <row r="4" spans="1:6" ht="15.75">
      <c r="A4" s="194">
        <v>2</v>
      </c>
      <c r="B4" s="194">
        <v>2</v>
      </c>
      <c r="C4" s="195" t="s">
        <v>182</v>
      </c>
      <c r="D4" s="195"/>
      <c r="E4" s="9"/>
      <c r="F4" s="7"/>
    </row>
    <row r="5" spans="1:6" ht="45.75">
      <c r="A5" s="7" t="s">
        <v>41</v>
      </c>
      <c r="B5" s="7">
        <v>7011</v>
      </c>
      <c r="C5" s="25" t="s">
        <v>62</v>
      </c>
      <c r="D5" s="25" t="s">
        <v>219</v>
      </c>
      <c r="E5" s="9">
        <v>2031.16</v>
      </c>
      <c r="F5" s="7" t="s">
        <v>63</v>
      </c>
    </row>
    <row r="6" spans="1:6" ht="45.75">
      <c r="A6" s="7" t="s">
        <v>43</v>
      </c>
      <c r="B6" s="7" t="s">
        <v>65</v>
      </c>
      <c r="C6" s="25" t="s">
        <v>66</v>
      </c>
      <c r="D6" s="25" t="s">
        <v>219</v>
      </c>
      <c r="E6" s="9">
        <v>2031.16</v>
      </c>
      <c r="F6" s="7" t="s">
        <v>63</v>
      </c>
    </row>
    <row r="7" spans="1:6" ht="15.75">
      <c r="A7" s="194">
        <v>3</v>
      </c>
      <c r="B7" s="194">
        <v>3</v>
      </c>
      <c r="C7" s="195" t="s">
        <v>183</v>
      </c>
      <c r="D7" s="195"/>
      <c r="E7" s="9"/>
      <c r="F7" s="194"/>
    </row>
    <row r="8" spans="1:6" ht="45">
      <c r="A8" s="7" t="s">
        <v>61</v>
      </c>
      <c r="B8" s="7">
        <v>83338</v>
      </c>
      <c r="C8" s="17" t="s">
        <v>200</v>
      </c>
      <c r="D8" s="17" t="s">
        <v>220</v>
      </c>
      <c r="E8" s="14">
        <f>E15*0.4</f>
        <v>1981.2880000000002</v>
      </c>
      <c r="F8" s="7" t="s">
        <v>26</v>
      </c>
    </row>
    <row r="9" spans="1:6" ht="60">
      <c r="A9" s="7" t="s">
        <v>64</v>
      </c>
      <c r="B9" s="190" t="s">
        <v>28</v>
      </c>
      <c r="C9" s="23" t="s">
        <v>201</v>
      </c>
      <c r="D9" s="23" t="s">
        <v>221</v>
      </c>
      <c r="E9" s="14">
        <f>(E8)*1.15</f>
        <v>2278.4812000000002</v>
      </c>
      <c r="F9" s="7" t="s">
        <v>26</v>
      </c>
    </row>
    <row r="10" spans="1:6" ht="45">
      <c r="A10" s="7" t="s">
        <v>198</v>
      </c>
      <c r="B10" s="7">
        <v>72881</v>
      </c>
      <c r="C10" s="17" t="s">
        <v>209</v>
      </c>
      <c r="D10" s="17" t="s">
        <v>223</v>
      </c>
      <c r="E10" s="9">
        <f>E9*6</f>
        <v>13670.887200000001</v>
      </c>
      <c r="F10" s="7" t="s">
        <v>210</v>
      </c>
    </row>
    <row r="11" spans="1:6" ht="30">
      <c r="A11" s="7" t="s">
        <v>199</v>
      </c>
      <c r="B11" s="7">
        <v>83344</v>
      </c>
      <c r="C11" s="17" t="s">
        <v>208</v>
      </c>
      <c r="D11" s="17"/>
      <c r="E11" s="9">
        <f>E9</f>
        <v>2278.4812000000002</v>
      </c>
      <c r="F11" s="7" t="s">
        <v>26</v>
      </c>
    </row>
    <row r="12" spans="1:6" ht="60">
      <c r="A12" s="7" t="s">
        <v>204</v>
      </c>
      <c r="B12" s="190" t="s">
        <v>202</v>
      </c>
      <c r="C12" s="23" t="s">
        <v>203</v>
      </c>
      <c r="D12" s="23"/>
      <c r="E12" s="14">
        <f>(E15*0.2)*1.15</f>
        <v>1139.2406000000001</v>
      </c>
      <c r="F12" s="8" t="s">
        <v>26</v>
      </c>
    </row>
    <row r="13" spans="1:6" ht="30">
      <c r="A13" s="207" t="s">
        <v>207</v>
      </c>
      <c r="B13" s="208" t="s">
        <v>213</v>
      </c>
      <c r="C13" s="209" t="s">
        <v>214</v>
      </c>
      <c r="D13" s="209"/>
      <c r="E13" s="210">
        <f>E12</f>
        <v>1139.2406000000001</v>
      </c>
      <c r="F13" s="207" t="s">
        <v>26</v>
      </c>
    </row>
    <row r="14" spans="1:6" ht="30">
      <c r="A14" s="7" t="s">
        <v>211</v>
      </c>
      <c r="B14" s="7">
        <v>72875</v>
      </c>
      <c r="C14" s="17" t="s">
        <v>215</v>
      </c>
      <c r="D14" s="17"/>
      <c r="E14" s="9">
        <f>E12*20</f>
        <v>22784.812000000002</v>
      </c>
      <c r="F14" s="7" t="s">
        <v>210</v>
      </c>
    </row>
    <row r="15" spans="1:6" ht="30">
      <c r="A15" s="7" t="s">
        <v>212</v>
      </c>
      <c r="B15" s="7">
        <v>72961</v>
      </c>
      <c r="C15" s="17" t="s">
        <v>44</v>
      </c>
      <c r="D15" s="17"/>
      <c r="E15" s="14">
        <v>4953.22</v>
      </c>
      <c r="F15" s="7" t="s">
        <v>22</v>
      </c>
    </row>
    <row r="16" spans="1:6" ht="15.75">
      <c r="A16" s="194">
        <v>4</v>
      </c>
      <c r="B16" s="194">
        <v>4</v>
      </c>
      <c r="C16" s="195" t="s">
        <v>45</v>
      </c>
      <c r="D16" s="195"/>
      <c r="E16" s="9"/>
      <c r="F16" s="194"/>
    </row>
    <row r="17" spans="1:6" ht="30">
      <c r="A17" s="8" t="s">
        <v>68</v>
      </c>
      <c r="B17" s="7">
        <v>73710</v>
      </c>
      <c r="C17" s="17" t="s">
        <v>47</v>
      </c>
      <c r="D17" s="17"/>
      <c r="E17" s="14">
        <v>1003.94</v>
      </c>
      <c r="F17" s="7" t="s">
        <v>26</v>
      </c>
    </row>
    <row r="18" spans="1:6" ht="15.75">
      <c r="A18" s="194">
        <v>5</v>
      </c>
      <c r="B18" s="194">
        <v>5</v>
      </c>
      <c r="C18" s="195" t="s">
        <v>39</v>
      </c>
      <c r="D18" s="195"/>
      <c r="E18" s="9"/>
      <c r="F18" s="194"/>
    </row>
    <row r="19" spans="1:6" ht="30">
      <c r="A19" s="8" t="s">
        <v>70</v>
      </c>
      <c r="B19" s="7">
        <v>72945</v>
      </c>
      <c r="C19" s="23" t="s">
        <v>51</v>
      </c>
      <c r="D19" s="23"/>
      <c r="E19" s="14">
        <f>E15</f>
        <v>4953.22</v>
      </c>
      <c r="F19" s="7" t="s">
        <v>22</v>
      </c>
    </row>
    <row r="20" spans="1:6">
      <c r="A20" s="8" t="s">
        <v>76</v>
      </c>
      <c r="B20" s="7">
        <v>72942</v>
      </c>
      <c r="C20" s="23" t="s">
        <v>53</v>
      </c>
      <c r="D20" s="23"/>
      <c r="E20" s="14">
        <f>E19</f>
        <v>4953.22</v>
      </c>
      <c r="F20" s="7" t="s">
        <v>22</v>
      </c>
    </row>
    <row r="21" spans="1:6" ht="45">
      <c r="A21" s="8" t="s">
        <v>79</v>
      </c>
      <c r="B21" s="49">
        <v>72965</v>
      </c>
      <c r="C21" s="23" t="s">
        <v>55</v>
      </c>
      <c r="D21" s="23"/>
      <c r="E21" s="14">
        <f>E15*0.03*2.4</f>
        <v>356.63183999999995</v>
      </c>
      <c r="F21" s="7" t="s">
        <v>56</v>
      </c>
    </row>
    <row r="22" spans="1:6" ht="30">
      <c r="A22" s="8" t="s">
        <v>81</v>
      </c>
      <c r="B22" s="7">
        <v>83357</v>
      </c>
      <c r="C22" s="17" t="s">
        <v>205</v>
      </c>
      <c r="D22" s="17"/>
      <c r="E22" s="9">
        <f>E21*30</f>
        <v>10698.955199999999</v>
      </c>
      <c r="F22" s="7" t="s">
        <v>59</v>
      </c>
    </row>
    <row r="23" spans="1:6" ht="45">
      <c r="A23" s="8" t="s">
        <v>84</v>
      </c>
      <c r="B23" s="7">
        <v>72891</v>
      </c>
      <c r="C23" s="17" t="s">
        <v>49</v>
      </c>
      <c r="D23" s="17"/>
      <c r="E23" s="9">
        <f>E15*0.03</f>
        <v>148.5966</v>
      </c>
      <c r="F23" s="7" t="s">
        <v>26</v>
      </c>
    </row>
    <row r="24" spans="1:6" ht="15.75">
      <c r="A24" s="194">
        <v>6</v>
      </c>
      <c r="B24" s="194">
        <v>6</v>
      </c>
      <c r="C24" s="195" t="s">
        <v>206</v>
      </c>
      <c r="D24" s="195"/>
      <c r="E24" s="9"/>
      <c r="F24" s="194"/>
    </row>
    <row r="25" spans="1:6" ht="30">
      <c r="A25" s="7" t="s">
        <v>184</v>
      </c>
      <c r="B25" s="7" t="s">
        <v>77</v>
      </c>
      <c r="C25" s="17" t="s">
        <v>78</v>
      </c>
      <c r="D25" s="17"/>
      <c r="E25" s="9">
        <f>48+ (2031*1)</f>
        <v>2079</v>
      </c>
      <c r="F25" s="7" t="s">
        <v>22</v>
      </c>
    </row>
    <row r="26" spans="1:6" ht="30">
      <c r="A26" s="7" t="s">
        <v>185</v>
      </c>
      <c r="B26" s="7">
        <v>5622</v>
      </c>
      <c r="C26" s="17" t="s">
        <v>80</v>
      </c>
      <c r="D26" s="17"/>
      <c r="E26" s="9">
        <f>48</f>
        <v>48</v>
      </c>
      <c r="F26" s="7" t="s">
        <v>22</v>
      </c>
    </row>
    <row r="27" spans="1:6">
      <c r="A27" s="7" t="s">
        <v>186</v>
      </c>
      <c r="B27" s="7" t="s">
        <v>82</v>
      </c>
      <c r="C27" s="17" t="s">
        <v>83</v>
      </c>
      <c r="D27" s="17"/>
      <c r="E27" s="9">
        <f>(E26*0.05)</f>
        <v>2.4000000000000004</v>
      </c>
      <c r="F27" s="7" t="s">
        <v>26</v>
      </c>
    </row>
    <row r="28" spans="1:6" ht="60">
      <c r="A28" s="7" t="s">
        <v>187</v>
      </c>
      <c r="B28" s="7" t="s">
        <v>85</v>
      </c>
      <c r="C28" s="65" t="s">
        <v>100</v>
      </c>
      <c r="D28" s="65"/>
      <c r="E28" s="9">
        <f>48+(2031*1)</f>
        <v>2079</v>
      </c>
      <c r="F28" s="7" t="s">
        <v>22</v>
      </c>
    </row>
    <row r="29" spans="1:6">
      <c r="A29" s="7" t="s">
        <v>188</v>
      </c>
      <c r="B29" s="7" t="s">
        <v>87</v>
      </c>
      <c r="C29" s="17" t="s">
        <v>88</v>
      </c>
      <c r="D29" s="17"/>
      <c r="E29" s="9">
        <v>16.32</v>
      </c>
      <c r="F29" s="7" t="s">
        <v>22</v>
      </c>
    </row>
    <row r="30" spans="1:6" ht="15.75">
      <c r="A30" s="194">
        <v>7</v>
      </c>
      <c r="B30" s="194">
        <v>7</v>
      </c>
      <c r="C30" s="195" t="s">
        <v>191</v>
      </c>
      <c r="D30" s="195"/>
      <c r="E30" s="9"/>
      <c r="F30" s="194"/>
    </row>
    <row r="31" spans="1:6" ht="45">
      <c r="A31" s="7" t="s">
        <v>192</v>
      </c>
      <c r="B31" s="7">
        <v>72947</v>
      </c>
      <c r="C31" s="17" t="s">
        <v>69</v>
      </c>
      <c r="D31" s="17"/>
      <c r="E31" s="9">
        <v>185.8</v>
      </c>
      <c r="F31" s="7" t="s">
        <v>22</v>
      </c>
    </row>
    <row r="32" spans="1:6" ht="45">
      <c r="A32" s="7" t="s">
        <v>193</v>
      </c>
      <c r="B32" s="7" t="s">
        <v>71</v>
      </c>
      <c r="C32" s="17" t="s">
        <v>72</v>
      </c>
      <c r="D32" s="17"/>
      <c r="E32" s="9">
        <v>2</v>
      </c>
      <c r="F32" s="7" t="s">
        <v>9</v>
      </c>
    </row>
    <row r="33" spans="1:6" ht="30">
      <c r="A33" s="7" t="s">
        <v>194</v>
      </c>
      <c r="B33" s="7" t="s">
        <v>71</v>
      </c>
      <c r="C33" s="17" t="s">
        <v>74</v>
      </c>
      <c r="D33" s="17"/>
      <c r="E33" s="9">
        <v>4</v>
      </c>
      <c r="F33" s="7" t="s">
        <v>9</v>
      </c>
    </row>
    <row r="34" spans="1:6" ht="15.75">
      <c r="A34" s="194">
        <v>8</v>
      </c>
      <c r="B34" s="194">
        <v>8</v>
      </c>
      <c r="C34" s="195" t="s">
        <v>196</v>
      </c>
      <c r="D34" s="195"/>
      <c r="E34" s="9"/>
      <c r="F34" s="194"/>
    </row>
    <row r="35" spans="1:6">
      <c r="A35" s="7" t="s">
        <v>91</v>
      </c>
      <c r="B35" s="7">
        <v>9537</v>
      </c>
      <c r="C35" s="17" t="s">
        <v>92</v>
      </c>
      <c r="D35" s="17"/>
      <c r="E35" s="9">
        <f>E9</f>
        <v>2278.4812000000002</v>
      </c>
      <c r="F35" s="7" t="s">
        <v>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5"/>
  <sheetViews>
    <sheetView topLeftCell="A43" zoomScale="90" zoomScaleNormal="90" zoomScaleSheetLayoutView="100" workbookViewId="0">
      <selection activeCell="E70" sqref="E70"/>
    </sheetView>
  </sheetViews>
  <sheetFormatPr defaultRowHeight="15"/>
  <cols>
    <col min="1" max="1" width="3.2851562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10.42578125" customWidth="1"/>
    <col min="7" max="7" width="13" customWidth="1"/>
    <col min="8" max="8" width="11" customWidth="1"/>
    <col min="9" max="9" width="15.7109375" customWidth="1"/>
    <col min="10" max="10" width="14.85546875" customWidth="1"/>
    <col min="11" max="12" width="13.28515625" customWidth="1"/>
    <col min="13" max="13" width="13.28515625" hidden="1" customWidth="1"/>
  </cols>
  <sheetData>
    <row r="1" spans="2:13" ht="20.25" customHeight="1">
      <c r="B1" s="338" t="s">
        <v>0</v>
      </c>
      <c r="C1" s="338"/>
      <c r="D1" s="338"/>
      <c r="E1" s="338"/>
      <c r="F1" s="338"/>
      <c r="G1" s="338"/>
      <c r="H1" s="338"/>
      <c r="I1" s="338"/>
      <c r="J1" s="338"/>
      <c r="K1" s="338"/>
    </row>
    <row r="2" spans="2:13" ht="18" customHeight="1" thickBot="1">
      <c r="B2" s="192"/>
      <c r="C2" s="192"/>
      <c r="D2" s="192"/>
      <c r="E2" s="192"/>
      <c r="F2" s="192"/>
      <c r="G2" s="192"/>
      <c r="H2" s="192"/>
      <c r="I2" s="192"/>
      <c r="J2" s="192"/>
      <c r="K2" s="192"/>
    </row>
    <row r="3" spans="2:13" ht="18.75" customHeight="1" thickBot="1">
      <c r="B3" s="55" t="s">
        <v>1</v>
      </c>
      <c r="C3" s="339" t="s">
        <v>246</v>
      </c>
      <c r="D3" s="339"/>
      <c r="E3" s="339"/>
      <c r="F3" s="339"/>
      <c r="G3" s="339"/>
      <c r="H3" s="339"/>
      <c r="I3" s="339"/>
      <c r="J3" s="339"/>
      <c r="K3" s="339"/>
    </row>
    <row r="4" spans="2:13" ht="24" customHeight="1" thickBot="1">
      <c r="B4" s="55" t="s">
        <v>3</v>
      </c>
      <c r="C4" s="339" t="s">
        <v>260</v>
      </c>
      <c r="D4" s="339"/>
      <c r="E4" s="339"/>
      <c r="F4" s="339"/>
      <c r="G4" s="339"/>
      <c r="H4" s="339"/>
      <c r="I4" s="339"/>
      <c r="J4" s="339"/>
      <c r="K4" s="339"/>
    </row>
    <row r="5" spans="2:13" ht="32.25" thickBot="1">
      <c r="B5" s="366" t="s">
        <v>5</v>
      </c>
      <c r="C5" s="366" t="s">
        <v>6</v>
      </c>
      <c r="D5" s="366" t="s">
        <v>7</v>
      </c>
      <c r="E5" s="366" t="s">
        <v>8</v>
      </c>
      <c r="F5" s="367" t="s">
        <v>9</v>
      </c>
      <c r="G5" s="367" t="s">
        <v>10</v>
      </c>
      <c r="H5" s="215" t="s">
        <v>11</v>
      </c>
      <c r="I5" s="215" t="s">
        <v>12</v>
      </c>
      <c r="J5" s="215" t="s">
        <v>13</v>
      </c>
      <c r="K5" s="216" t="s">
        <v>14</v>
      </c>
      <c r="M5" s="213" t="e">
        <f>#REF!</f>
        <v>#REF!</v>
      </c>
    </row>
    <row r="6" spans="2:13" ht="19.5" customHeight="1" thickBot="1">
      <c r="B6" s="366"/>
      <c r="C6" s="366"/>
      <c r="D6" s="366"/>
      <c r="E6" s="366"/>
      <c r="F6" s="367"/>
      <c r="G6" s="367"/>
      <c r="H6" s="215" t="s">
        <v>15</v>
      </c>
      <c r="I6" s="215" t="s">
        <v>16</v>
      </c>
      <c r="J6" s="215" t="s">
        <v>15</v>
      </c>
      <c r="K6" s="216"/>
      <c r="M6" s="213">
        <f>J10</f>
        <v>29028.260000000002</v>
      </c>
    </row>
    <row r="7" spans="2:13" ht="18" customHeight="1">
      <c r="B7" s="224">
        <v>1</v>
      </c>
      <c r="C7" s="225"/>
      <c r="D7" s="224"/>
      <c r="E7" s="225" t="s">
        <v>182</v>
      </c>
      <c r="F7" s="226"/>
      <c r="G7" s="227"/>
      <c r="H7" s="227"/>
      <c r="I7" s="228"/>
      <c r="J7" s="229"/>
      <c r="K7" s="230"/>
      <c r="M7" s="213">
        <f>J41</f>
        <v>933.48</v>
      </c>
    </row>
    <row r="8" spans="2:13" ht="33" customHeight="1">
      <c r="B8" s="7" t="s">
        <v>18</v>
      </c>
      <c r="C8" s="7" t="s">
        <v>249</v>
      </c>
      <c r="D8" s="7">
        <v>7011</v>
      </c>
      <c r="E8" s="25" t="s">
        <v>240</v>
      </c>
      <c r="F8" s="7" t="s">
        <v>230</v>
      </c>
      <c r="G8" s="9">
        <f>1105.47-(377.5)</f>
        <v>727.97</v>
      </c>
      <c r="H8" s="16">
        <v>5.12</v>
      </c>
      <c r="I8" s="10">
        <f t="shared" ref="I8" si="0">SUM(H8*1.2403)</f>
        <v>6.3503359999999995</v>
      </c>
      <c r="J8" s="202">
        <f t="shared" ref="J8:J39" si="1">TRUNC(G8*I8,2)</f>
        <v>4622.8500000000004</v>
      </c>
      <c r="K8" s="41"/>
      <c r="L8" s="61"/>
      <c r="M8" s="213">
        <f>J33</f>
        <v>2508.5699999999997</v>
      </c>
    </row>
    <row r="9" spans="2:13" ht="34.5" customHeight="1">
      <c r="B9" s="7" t="s">
        <v>24</v>
      </c>
      <c r="C9" s="7" t="s">
        <v>249</v>
      </c>
      <c r="D9" s="7" t="s">
        <v>65</v>
      </c>
      <c r="E9" s="25" t="s">
        <v>241</v>
      </c>
      <c r="F9" s="7" t="s">
        <v>230</v>
      </c>
      <c r="G9" s="9">
        <f>1105.47-(377.5)</f>
        <v>727.97</v>
      </c>
      <c r="H9" s="16">
        <v>27.03</v>
      </c>
      <c r="I9" s="10">
        <f t="shared" ref="I9" si="2">SUM(H9*1.2403)</f>
        <v>33.525309</v>
      </c>
      <c r="J9" s="202">
        <f t="shared" si="1"/>
        <v>24405.41</v>
      </c>
      <c r="K9" s="41"/>
      <c r="M9" s="214" t="e">
        <f>SUM(M5:M8)</f>
        <v>#REF!</v>
      </c>
    </row>
    <row r="10" spans="2:13" ht="15.75" customHeight="1">
      <c r="B10" s="239" t="s">
        <v>38</v>
      </c>
      <c r="C10" s="240"/>
      <c r="D10" s="240"/>
      <c r="E10" s="241"/>
      <c r="F10" s="217"/>
      <c r="G10" s="218"/>
      <c r="H10" s="218"/>
      <c r="I10" s="219"/>
      <c r="J10" s="219">
        <f>SUM(J8:J9)</f>
        <v>29028.260000000002</v>
      </c>
      <c r="K10" s="220">
        <f>J10/J42</f>
        <v>0.16707452638180298</v>
      </c>
    </row>
    <row r="11" spans="2:13" ht="18" customHeight="1">
      <c r="B11" s="224">
        <v>2</v>
      </c>
      <c r="C11" s="225"/>
      <c r="D11" s="224"/>
      <c r="E11" s="225" t="s">
        <v>183</v>
      </c>
      <c r="F11" s="224"/>
      <c r="G11" s="227"/>
      <c r="H11" s="227"/>
      <c r="I11" s="232"/>
      <c r="J11" s="229"/>
      <c r="K11" s="230"/>
    </row>
    <row r="12" spans="2:13" ht="18" customHeight="1">
      <c r="B12" s="26"/>
      <c r="C12" s="15"/>
      <c r="D12" s="26"/>
      <c r="E12" s="15" t="s">
        <v>222</v>
      </c>
      <c r="F12" s="26"/>
      <c r="G12" s="12"/>
      <c r="H12" s="12"/>
      <c r="I12" s="13"/>
      <c r="J12" s="231"/>
      <c r="K12" s="42"/>
    </row>
    <row r="13" spans="2:13" s="206" customFormat="1" ht="48" customHeight="1">
      <c r="B13" s="7" t="s">
        <v>41</v>
      </c>
      <c r="C13" s="7" t="s">
        <v>249</v>
      </c>
      <c r="D13" s="7">
        <v>83338</v>
      </c>
      <c r="E13" s="23" t="s">
        <v>273</v>
      </c>
      <c r="F13" s="7" t="s">
        <v>231</v>
      </c>
      <c r="G13" s="14">
        <f>G18*0.4-(15.4)</f>
        <v>862.26400000000001</v>
      </c>
      <c r="H13" s="16">
        <v>2.33</v>
      </c>
      <c r="I13" s="10">
        <f t="shared" ref="I13" si="3">SUM(H13*1.2403)</f>
        <v>2.8898989999999998</v>
      </c>
      <c r="J13" s="202">
        <f t="shared" si="1"/>
        <v>2491.85</v>
      </c>
      <c r="K13" s="44"/>
    </row>
    <row r="14" spans="2:13" ht="59.25" customHeight="1">
      <c r="B14" s="7" t="s">
        <v>43</v>
      </c>
      <c r="C14" s="7" t="s">
        <v>249</v>
      </c>
      <c r="D14" s="190" t="s">
        <v>28</v>
      </c>
      <c r="E14" s="23" t="s">
        <v>239</v>
      </c>
      <c r="F14" s="7" t="s">
        <v>231</v>
      </c>
      <c r="G14" s="14">
        <f>(G13)*1.15</f>
        <v>991.60359999999991</v>
      </c>
      <c r="H14" s="16">
        <v>1.46</v>
      </c>
      <c r="I14" s="10">
        <f t="shared" ref="I14" si="4">SUM(H14*1.2403)</f>
        <v>1.8108379999999999</v>
      </c>
      <c r="J14" s="202">
        <f t="shared" si="1"/>
        <v>1795.63</v>
      </c>
      <c r="K14" s="44"/>
    </row>
    <row r="15" spans="2:13" ht="30">
      <c r="B15" s="7" t="s">
        <v>46</v>
      </c>
      <c r="C15" s="7" t="s">
        <v>249</v>
      </c>
      <c r="D15" s="7">
        <v>72887</v>
      </c>
      <c r="E15" s="17" t="s">
        <v>261</v>
      </c>
      <c r="F15" s="7" t="s">
        <v>242</v>
      </c>
      <c r="G15" s="9">
        <f>G14*8</f>
        <v>7932.8287999999993</v>
      </c>
      <c r="H15" s="16">
        <v>0.86</v>
      </c>
      <c r="I15" s="10">
        <f>SUM(H15*1.2403)</f>
        <v>1.0666579999999999</v>
      </c>
      <c r="J15" s="202">
        <f t="shared" si="1"/>
        <v>8461.61</v>
      </c>
      <c r="K15" s="41"/>
      <c r="L15" s="61"/>
    </row>
    <row r="16" spans="2:13" ht="15.75">
      <c r="B16" s="24"/>
      <c r="C16" s="24"/>
      <c r="D16" s="24"/>
      <c r="E16" s="15" t="s">
        <v>40</v>
      </c>
      <c r="F16" s="24"/>
      <c r="G16" s="12"/>
      <c r="H16" s="19"/>
      <c r="I16" s="19"/>
      <c r="J16" s="231"/>
      <c r="K16" s="42"/>
      <c r="L16" s="61"/>
    </row>
    <row r="17" spans="2:12" ht="46.5" customHeight="1">
      <c r="B17" s="7" t="s">
        <v>48</v>
      </c>
      <c r="C17" s="7" t="s">
        <v>249</v>
      </c>
      <c r="D17" s="190" t="s">
        <v>202</v>
      </c>
      <c r="E17" s="23" t="s">
        <v>262</v>
      </c>
      <c r="F17" s="8" t="s">
        <v>231</v>
      </c>
      <c r="G17" s="14">
        <f>(G18*0.2)*1.15</f>
        <v>504.65679999999998</v>
      </c>
      <c r="H17" s="16">
        <v>3.1</v>
      </c>
      <c r="I17" s="10">
        <f>SUM(H17*1.2403)</f>
        <v>3.8449300000000002</v>
      </c>
      <c r="J17" s="202">
        <f t="shared" si="1"/>
        <v>1940.37</v>
      </c>
      <c r="K17" s="44"/>
    </row>
    <row r="18" spans="2:12" ht="32.25" customHeight="1">
      <c r="B18" s="7" t="s">
        <v>50</v>
      </c>
      <c r="C18" s="7" t="s">
        <v>249</v>
      </c>
      <c r="D18" s="7">
        <v>72961</v>
      </c>
      <c r="E18" s="17" t="s">
        <v>238</v>
      </c>
      <c r="F18" s="7" t="s">
        <v>229</v>
      </c>
      <c r="G18" s="14">
        <v>2194.16</v>
      </c>
      <c r="H18" s="31">
        <v>1.1599999999999999</v>
      </c>
      <c r="I18" s="10">
        <f>SUM(H18*1.2403)</f>
        <v>1.4387479999999999</v>
      </c>
      <c r="J18" s="202">
        <f>TRUNC(G18*I18,2)</f>
        <v>3156.84</v>
      </c>
      <c r="K18" s="45"/>
    </row>
    <row r="19" spans="2:12" ht="45">
      <c r="B19" s="7" t="s">
        <v>52</v>
      </c>
      <c r="C19" s="7" t="s">
        <v>249</v>
      </c>
      <c r="D19" s="7">
        <v>72886</v>
      </c>
      <c r="E19" s="17" t="s">
        <v>263</v>
      </c>
      <c r="F19" s="7" t="s">
        <v>232</v>
      </c>
      <c r="G19" s="9">
        <f>G17*14</f>
        <v>7065.1952000000001</v>
      </c>
      <c r="H19" s="16">
        <v>1.03</v>
      </c>
      <c r="I19" s="10">
        <f>SUM(H19*1.2403)</f>
        <v>1.277509</v>
      </c>
      <c r="J19" s="202">
        <f t="shared" si="1"/>
        <v>9025.85</v>
      </c>
      <c r="K19" s="41"/>
      <c r="L19" s="61"/>
    </row>
    <row r="20" spans="2:12" ht="16.5" customHeight="1">
      <c r="B20" s="224"/>
      <c r="C20" s="225"/>
      <c r="D20" s="224"/>
      <c r="E20" s="15" t="s">
        <v>45</v>
      </c>
      <c r="F20" s="224"/>
      <c r="G20" s="227"/>
      <c r="H20" s="227"/>
      <c r="I20" s="232"/>
      <c r="J20" s="229"/>
      <c r="K20" s="230"/>
    </row>
    <row r="21" spans="2:12" ht="30">
      <c r="B21" s="8" t="s">
        <v>54</v>
      </c>
      <c r="C21" s="7" t="s">
        <v>249</v>
      </c>
      <c r="D21" s="7">
        <v>73710</v>
      </c>
      <c r="E21" s="17" t="s">
        <v>264</v>
      </c>
      <c r="F21" s="7" t="s">
        <v>231</v>
      </c>
      <c r="G21" s="14">
        <f>(G18)*0.2</f>
        <v>438.83199999999999</v>
      </c>
      <c r="H21" s="16">
        <v>93.94</v>
      </c>
      <c r="I21" s="10">
        <f t="shared" ref="I21" si="5">SUM(H21*1.2403)</f>
        <v>116.51378199999999</v>
      </c>
      <c r="J21" s="202">
        <f t="shared" si="1"/>
        <v>51129.97</v>
      </c>
      <c r="K21" s="44"/>
      <c r="L21" s="61"/>
    </row>
    <row r="22" spans="2:12" ht="16.5" customHeight="1">
      <c r="B22" s="224"/>
      <c r="C22" s="225"/>
      <c r="D22" s="224"/>
      <c r="E22" s="15" t="s">
        <v>149</v>
      </c>
      <c r="F22" s="224"/>
      <c r="G22" s="227"/>
      <c r="H22" s="227"/>
      <c r="I22" s="232"/>
      <c r="J22" s="229"/>
      <c r="K22" s="230"/>
    </row>
    <row r="23" spans="2:12" ht="17.25" customHeight="1">
      <c r="B23" s="8" t="s">
        <v>57</v>
      </c>
      <c r="C23" s="7" t="s">
        <v>249</v>
      </c>
      <c r="D23" s="7">
        <v>72945</v>
      </c>
      <c r="E23" s="23" t="s">
        <v>225</v>
      </c>
      <c r="F23" s="7" t="s">
        <v>229</v>
      </c>
      <c r="G23" s="14">
        <f>G18</f>
        <v>2194.16</v>
      </c>
      <c r="H23" s="16">
        <v>4.4800000000000004</v>
      </c>
      <c r="I23" s="10">
        <f>SUM(H23*1.2403)</f>
        <v>5.5565440000000006</v>
      </c>
      <c r="J23" s="202">
        <f t="shared" si="1"/>
        <v>12191.94</v>
      </c>
      <c r="K23" s="41"/>
      <c r="L23" s="61"/>
    </row>
    <row r="24" spans="2:12" ht="21" customHeight="1">
      <c r="B24" s="8" t="s">
        <v>252</v>
      </c>
      <c r="C24" s="7" t="s">
        <v>249</v>
      </c>
      <c r="D24" s="7">
        <v>72942</v>
      </c>
      <c r="E24" s="23" t="s">
        <v>224</v>
      </c>
      <c r="F24" s="7" t="s">
        <v>229</v>
      </c>
      <c r="G24" s="14">
        <f>G18</f>
        <v>2194.16</v>
      </c>
      <c r="H24" s="16">
        <v>1.23</v>
      </c>
      <c r="I24" s="10">
        <f t="shared" ref="I24:I26" si="6">SUM(H24*1.2403)</f>
        <v>1.525569</v>
      </c>
      <c r="J24" s="202">
        <f t="shared" si="1"/>
        <v>3347.34</v>
      </c>
      <c r="K24" s="41"/>
    </row>
    <row r="25" spans="2:12" ht="45">
      <c r="B25" s="8" t="s">
        <v>253</v>
      </c>
      <c r="C25" s="7" t="s">
        <v>249</v>
      </c>
      <c r="D25" s="49">
        <v>72965</v>
      </c>
      <c r="E25" s="23" t="s">
        <v>265</v>
      </c>
      <c r="F25" s="7" t="s">
        <v>56</v>
      </c>
      <c r="G25" s="14">
        <f>G18*0.03*2.5</f>
        <v>164.56199999999998</v>
      </c>
      <c r="H25" s="16">
        <v>204.42</v>
      </c>
      <c r="I25" s="10">
        <f t="shared" si="6"/>
        <v>253.54212599999997</v>
      </c>
      <c r="J25" s="202">
        <f t="shared" si="1"/>
        <v>41723.39</v>
      </c>
      <c r="K25" s="41"/>
      <c r="L25" s="61"/>
    </row>
    <row r="26" spans="2:12" ht="30">
      <c r="B26" s="8" t="s">
        <v>254</v>
      </c>
      <c r="C26" s="7" t="s">
        <v>249</v>
      </c>
      <c r="D26" s="7">
        <v>83357</v>
      </c>
      <c r="E26" s="17" t="s">
        <v>266</v>
      </c>
      <c r="F26" s="7" t="s">
        <v>243</v>
      </c>
      <c r="G26" s="9">
        <f>G25*35</f>
        <v>5759.6699999999992</v>
      </c>
      <c r="H26" s="16">
        <v>0.79</v>
      </c>
      <c r="I26" s="10">
        <f t="shared" si="6"/>
        <v>0.97983699999999996</v>
      </c>
      <c r="J26" s="202">
        <f t="shared" si="1"/>
        <v>5643.53</v>
      </c>
      <c r="K26" s="41"/>
      <c r="L26" s="61"/>
    </row>
    <row r="27" spans="2:12" ht="45">
      <c r="B27" s="8" t="s">
        <v>255</v>
      </c>
      <c r="C27" s="7" t="s">
        <v>249</v>
      </c>
      <c r="D27" s="7">
        <v>72891</v>
      </c>
      <c r="E27" s="17" t="s">
        <v>237</v>
      </c>
      <c r="F27" s="7" t="s">
        <v>231</v>
      </c>
      <c r="G27" s="9">
        <f>G18*0.03</f>
        <v>65.824799999999996</v>
      </c>
      <c r="H27" s="16">
        <v>4.4800000000000004</v>
      </c>
      <c r="I27" s="10">
        <f>SUM(H27*1.2403)</f>
        <v>5.5565440000000006</v>
      </c>
      <c r="J27" s="202">
        <f t="shared" si="1"/>
        <v>365.75</v>
      </c>
      <c r="K27" s="41"/>
      <c r="L27" s="61"/>
    </row>
    <row r="28" spans="2:12" ht="15.75" customHeight="1">
      <c r="B28" s="239" t="s">
        <v>38</v>
      </c>
      <c r="C28" s="240"/>
      <c r="D28" s="240"/>
      <c r="E28" s="241"/>
      <c r="F28" s="217"/>
      <c r="G28" s="218"/>
      <c r="H28" s="218"/>
      <c r="I28" s="219"/>
      <c r="J28" s="219">
        <f>SUM(J13:J27)</f>
        <v>141274.06999999998</v>
      </c>
      <c r="K28" s="220">
        <f>J28/J42</f>
        <v>0.81311447311274165</v>
      </c>
      <c r="L28" s="212"/>
    </row>
    <row r="29" spans="2:12" ht="19.5" customHeight="1">
      <c r="B29" s="224">
        <v>3</v>
      </c>
      <c r="C29" s="225"/>
      <c r="D29" s="224"/>
      <c r="E29" s="225" t="s">
        <v>235</v>
      </c>
      <c r="F29" s="224"/>
      <c r="G29" s="227"/>
      <c r="H29" s="227"/>
      <c r="I29" s="232"/>
      <c r="J29" s="229">
        <f>SUM(J38:J39)</f>
        <v>717.58</v>
      </c>
      <c r="K29" s="230"/>
    </row>
    <row r="30" spans="2:12" ht="33" customHeight="1">
      <c r="B30" s="7" t="s">
        <v>61</v>
      </c>
      <c r="C30" s="7" t="s">
        <v>249</v>
      </c>
      <c r="D30" s="7">
        <v>72947</v>
      </c>
      <c r="E30" s="17" t="s">
        <v>226</v>
      </c>
      <c r="F30" s="7" t="s">
        <v>229</v>
      </c>
      <c r="G30" s="9">
        <v>72</v>
      </c>
      <c r="H30" s="14">
        <v>18.34</v>
      </c>
      <c r="I30" s="10">
        <f t="shared" ref="I30" si="7">SUM(H30*1.2403)</f>
        <v>22.747101999999998</v>
      </c>
      <c r="J30" s="202">
        <f>TRUNC(G30*I30,2)</f>
        <v>1637.79</v>
      </c>
      <c r="K30" s="9"/>
      <c r="L30" s="61"/>
    </row>
    <row r="31" spans="2:12" ht="31.5" customHeight="1">
      <c r="B31" s="7" t="s">
        <v>64</v>
      </c>
      <c r="C31" s="7" t="s">
        <v>249</v>
      </c>
      <c r="D31" s="7" t="s">
        <v>71</v>
      </c>
      <c r="E31" s="17" t="s">
        <v>267</v>
      </c>
      <c r="F31" s="7" t="s">
        <v>227</v>
      </c>
      <c r="G31" s="9">
        <v>8</v>
      </c>
      <c r="H31" s="14">
        <v>87.76</v>
      </c>
      <c r="I31" s="10">
        <f>SUM(H31*1.2403)</f>
        <v>108.84872800000001</v>
      </c>
      <c r="J31" s="202">
        <f>TRUNC(G31*I31,2)</f>
        <v>870.78</v>
      </c>
      <c r="K31" s="9"/>
      <c r="L31" s="61"/>
    </row>
    <row r="32" spans="2:12" ht="36" customHeight="1">
      <c r="B32" s="7" t="s">
        <v>195</v>
      </c>
      <c r="C32" s="7" t="s">
        <v>249</v>
      </c>
      <c r="D32" s="7">
        <v>92336</v>
      </c>
      <c r="E32" s="17" t="s">
        <v>251</v>
      </c>
      <c r="F32" s="7" t="s">
        <v>230</v>
      </c>
      <c r="G32" s="9">
        <f>8*3.6</f>
        <v>28.8</v>
      </c>
      <c r="H32" s="14">
        <v>58.86</v>
      </c>
      <c r="I32" s="10">
        <f>SUM(H32*1.2403)</f>
        <v>73.004058000000001</v>
      </c>
      <c r="J32" s="202">
        <f>TRUNC(G32*I32,2)</f>
        <v>2102.5100000000002</v>
      </c>
      <c r="K32" s="9"/>
      <c r="L32" s="61"/>
    </row>
    <row r="33" spans="2:12" ht="22.5" customHeight="1">
      <c r="B33" s="239" t="s">
        <v>38</v>
      </c>
      <c r="C33" s="240"/>
      <c r="D33" s="240"/>
      <c r="E33" s="241"/>
      <c r="F33" s="217"/>
      <c r="G33" s="218"/>
      <c r="H33" s="218"/>
      <c r="I33" s="219"/>
      <c r="J33" s="221">
        <f>SUM(J30:J31)</f>
        <v>2508.5699999999997</v>
      </c>
      <c r="K33" s="220">
        <f>J33/J42</f>
        <v>1.4438279960479871E-2</v>
      </c>
    </row>
    <row r="34" spans="2:12" ht="18.75" customHeight="1">
      <c r="B34" s="224">
        <v>4</v>
      </c>
      <c r="C34" s="225"/>
      <c r="D34" s="224"/>
      <c r="E34" s="225" t="s">
        <v>228</v>
      </c>
      <c r="F34" s="224"/>
      <c r="G34" s="227"/>
      <c r="H34" s="227"/>
      <c r="I34" s="232"/>
      <c r="J34" s="229"/>
      <c r="K34" s="230"/>
    </row>
    <row r="35" spans="2:12" ht="32.25" customHeight="1">
      <c r="B35" s="7" t="s">
        <v>68</v>
      </c>
      <c r="C35" s="7" t="s">
        <v>249</v>
      </c>
      <c r="D35" s="7" t="s">
        <v>234</v>
      </c>
      <c r="E35" s="17" t="s">
        <v>236</v>
      </c>
      <c r="F35" s="7" t="s">
        <v>229</v>
      </c>
      <c r="G35" s="9">
        <f>G37</f>
        <v>16</v>
      </c>
      <c r="H35" s="14">
        <v>0.49</v>
      </c>
      <c r="I35" s="10">
        <f t="shared" ref="I35" si="8">SUM(H35*1.2403)</f>
        <v>0.60774699999999993</v>
      </c>
      <c r="J35" s="202">
        <f t="shared" ref="J35" si="9">TRUNC(G35*I35,2)</f>
        <v>9.7200000000000006</v>
      </c>
      <c r="K35" s="9"/>
    </row>
    <row r="36" spans="2:12">
      <c r="B36" s="7" t="s">
        <v>70</v>
      </c>
      <c r="C36" s="7" t="s">
        <v>249</v>
      </c>
      <c r="D36" s="7">
        <v>85422</v>
      </c>
      <c r="E36" s="17" t="s">
        <v>233</v>
      </c>
      <c r="F36" s="7" t="s">
        <v>229</v>
      </c>
      <c r="G36" s="9">
        <f>G37</f>
        <v>16</v>
      </c>
      <c r="H36" s="14">
        <v>5.69</v>
      </c>
      <c r="I36" s="10">
        <f t="shared" ref="I36:I39" si="10">SUM(H36*1.2403)</f>
        <v>7.0573070000000007</v>
      </c>
      <c r="J36" s="202">
        <f t="shared" si="1"/>
        <v>112.91</v>
      </c>
      <c r="K36" s="9"/>
      <c r="L36" s="61"/>
    </row>
    <row r="37" spans="2:12" ht="30">
      <c r="B37" s="7" t="s">
        <v>73</v>
      </c>
      <c r="C37" s="7" t="s">
        <v>249</v>
      </c>
      <c r="D37" s="7">
        <v>5622</v>
      </c>
      <c r="E37" s="17" t="s">
        <v>270</v>
      </c>
      <c r="F37" s="7" t="s">
        <v>229</v>
      </c>
      <c r="G37" s="9">
        <v>16</v>
      </c>
      <c r="H37" s="14">
        <v>4.7</v>
      </c>
      <c r="I37" s="10">
        <f t="shared" ref="I37" si="11">SUM(H37*1.2403)</f>
        <v>5.8294100000000002</v>
      </c>
      <c r="J37" s="202">
        <f t="shared" si="1"/>
        <v>93.27</v>
      </c>
      <c r="K37" s="9"/>
      <c r="L37" s="61"/>
    </row>
    <row r="38" spans="2:12" ht="18" customHeight="1">
      <c r="B38" s="7" t="s">
        <v>256</v>
      </c>
      <c r="C38" s="7" t="s">
        <v>249</v>
      </c>
      <c r="D38" s="7" t="s">
        <v>82</v>
      </c>
      <c r="E38" s="17" t="s">
        <v>269</v>
      </c>
      <c r="F38" s="7" t="s">
        <v>231</v>
      </c>
      <c r="G38" s="9">
        <f>(G37*0.03)</f>
        <v>0.48</v>
      </c>
      <c r="H38" s="14">
        <v>85.68</v>
      </c>
      <c r="I38" s="10">
        <f t="shared" si="10"/>
        <v>106.26890400000001</v>
      </c>
      <c r="J38" s="202">
        <f t="shared" si="1"/>
        <v>51</v>
      </c>
      <c r="K38" s="9"/>
      <c r="L38" s="61"/>
    </row>
    <row r="39" spans="2:12" ht="66" customHeight="1">
      <c r="B39" s="7" t="s">
        <v>257</v>
      </c>
      <c r="C39" s="7" t="s">
        <v>249</v>
      </c>
      <c r="D39" s="7" t="s">
        <v>85</v>
      </c>
      <c r="E39" s="17" t="s">
        <v>268</v>
      </c>
      <c r="F39" s="7" t="s">
        <v>229</v>
      </c>
      <c r="G39" s="9">
        <f>G37</f>
        <v>16</v>
      </c>
      <c r="H39" s="14">
        <v>33.590000000000003</v>
      </c>
      <c r="I39" s="10">
        <f t="shared" si="10"/>
        <v>41.661677000000005</v>
      </c>
      <c r="J39" s="202">
        <f t="shared" si="1"/>
        <v>666.58</v>
      </c>
      <c r="K39" s="9"/>
      <c r="L39" s="61"/>
    </row>
    <row r="40" spans="2:12" ht="30.75" customHeight="1">
      <c r="B40" s="7" t="s">
        <v>258</v>
      </c>
      <c r="C40" s="7" t="s">
        <v>249</v>
      </c>
      <c r="D40" s="7" t="s">
        <v>87</v>
      </c>
      <c r="E40" s="17" t="s">
        <v>88</v>
      </c>
      <c r="F40" s="7" t="s">
        <v>229</v>
      </c>
      <c r="G40" s="9">
        <v>16</v>
      </c>
      <c r="H40" s="14">
        <v>11.41</v>
      </c>
      <c r="I40" s="10">
        <f t="shared" ref="I40" si="12">SUM(H40*1.2403)</f>
        <v>14.151823</v>
      </c>
      <c r="J40" s="202">
        <f t="shared" ref="J40" si="13">TRUNC(G40*I40,2)</f>
        <v>226.42</v>
      </c>
      <c r="K40" s="9"/>
      <c r="L40" s="61"/>
    </row>
    <row r="41" spans="2:12" ht="16.5" customHeight="1" thickBot="1">
      <c r="B41" s="242" t="s">
        <v>38</v>
      </c>
      <c r="C41" s="243"/>
      <c r="D41" s="243"/>
      <c r="E41" s="244"/>
      <c r="F41" s="217"/>
      <c r="G41" s="218"/>
      <c r="H41" s="218"/>
      <c r="I41" s="219"/>
      <c r="J41" s="219">
        <f>SUM(J35:J39)</f>
        <v>933.48</v>
      </c>
      <c r="K41" s="220">
        <f>J41/J42</f>
        <v>5.3727205449753254E-3</v>
      </c>
      <c r="L41" s="61"/>
    </row>
    <row r="42" spans="2:12" ht="22.5" customHeight="1" thickBot="1">
      <c r="B42" s="363" t="s">
        <v>197</v>
      </c>
      <c r="C42" s="364"/>
      <c r="D42" s="364"/>
      <c r="E42" s="364"/>
      <c r="F42" s="364"/>
      <c r="G42" s="364"/>
      <c r="H42" s="364"/>
      <c r="I42" s="365"/>
      <c r="J42" s="222">
        <f>TRUNC(J10+J28+J41+J33,2)</f>
        <v>173744.38</v>
      </c>
      <c r="K42" s="223">
        <f>K10+K28+K41+K33</f>
        <v>0.99999999999999978</v>
      </c>
      <c r="L42" s="5"/>
    </row>
    <row r="43" spans="2:12" ht="15.75">
      <c r="B43" s="27" t="s">
        <v>247</v>
      </c>
      <c r="C43" s="27"/>
      <c r="D43" s="27"/>
      <c r="E43" s="27"/>
      <c r="F43" s="28"/>
      <c r="G43" s="27"/>
      <c r="H43" s="335" t="s">
        <v>248</v>
      </c>
      <c r="I43" s="335"/>
      <c r="J43" s="335"/>
      <c r="K43" s="335"/>
      <c r="L43" s="1"/>
    </row>
    <row r="44" spans="2:12" ht="15.75">
      <c r="B44" s="20"/>
      <c r="C44" s="20"/>
      <c r="D44" s="20"/>
      <c r="E44" s="20"/>
      <c r="F44" s="21"/>
      <c r="G44" s="20"/>
      <c r="H44" s="333"/>
      <c r="I44" s="333"/>
      <c r="J44" s="333"/>
      <c r="K44" s="333"/>
      <c r="L44" s="64"/>
    </row>
    <row r="45" spans="2:12" ht="15.75">
      <c r="B45" s="20"/>
      <c r="C45" s="20"/>
      <c r="D45" s="20"/>
      <c r="E45" s="20"/>
      <c r="F45" s="21"/>
      <c r="G45" s="20"/>
      <c r="H45" s="233"/>
      <c r="I45" s="233"/>
      <c r="J45" s="233"/>
      <c r="K45" s="233"/>
      <c r="L45" s="64"/>
    </row>
    <row r="46" spans="2:12" ht="15.75">
      <c r="B46" s="20"/>
      <c r="C46" s="20"/>
      <c r="D46" s="20"/>
      <c r="E46" s="20"/>
      <c r="F46" s="21"/>
      <c r="G46" s="20"/>
      <c r="H46" s="233"/>
      <c r="I46" s="233"/>
      <c r="J46" s="233"/>
      <c r="K46" s="233"/>
      <c r="L46" s="64"/>
    </row>
    <row r="47" spans="2:12" ht="15.75">
      <c r="B47" s="20"/>
      <c r="C47" s="20"/>
      <c r="D47" s="20"/>
      <c r="E47" s="20"/>
      <c r="F47" s="21"/>
      <c r="G47" s="20"/>
      <c r="H47" s="193"/>
      <c r="I47" s="193"/>
      <c r="J47" s="193"/>
      <c r="K47" s="193"/>
      <c r="L47" s="1"/>
    </row>
    <row r="48" spans="2:12" ht="15.75">
      <c r="B48" s="20"/>
      <c r="C48" s="20"/>
      <c r="D48" s="20"/>
      <c r="E48" s="20"/>
      <c r="F48" s="21"/>
      <c r="G48" s="20"/>
      <c r="H48" s="193"/>
      <c r="I48" s="193"/>
      <c r="J48" s="193"/>
      <c r="K48" s="193"/>
      <c r="L48" s="1"/>
    </row>
    <row r="49" spans="2:13" ht="15.75">
      <c r="B49" s="29" t="s">
        <v>95</v>
      </c>
      <c r="C49" s="29"/>
      <c r="D49" s="29"/>
      <c r="E49" s="30"/>
      <c r="F49" s="334" t="s">
        <v>244</v>
      </c>
      <c r="G49" s="334"/>
      <c r="H49" s="334"/>
      <c r="I49" s="334"/>
      <c r="J49" s="334"/>
      <c r="K49" s="334"/>
      <c r="L49" s="1"/>
      <c r="M49" s="61"/>
    </row>
    <row r="50" spans="2:13">
      <c r="B50" s="331" t="s">
        <v>96</v>
      </c>
      <c r="C50" s="331"/>
      <c r="D50" s="331"/>
      <c r="E50" s="331"/>
      <c r="F50" s="343" t="s">
        <v>245</v>
      </c>
      <c r="G50" s="343"/>
      <c r="H50" s="343"/>
      <c r="I50" s="343"/>
      <c r="J50" s="343"/>
      <c r="K50" s="343"/>
      <c r="L50" s="1"/>
      <c r="M50" s="61"/>
    </row>
    <row r="51" spans="2:13" ht="15.75">
      <c r="B51" s="2"/>
      <c r="C51" s="2"/>
      <c r="D51" s="2"/>
      <c r="E51" s="3"/>
      <c r="F51" s="368" t="s">
        <v>277</v>
      </c>
      <c r="G51" s="368"/>
      <c r="H51" s="368"/>
      <c r="I51" s="368"/>
      <c r="J51" s="368"/>
      <c r="K51" s="368"/>
      <c r="L51" s="1"/>
    </row>
    <row r="52" spans="2:13">
      <c r="B52" s="191"/>
      <c r="C52" s="191"/>
      <c r="D52" s="191"/>
      <c r="E52" s="191"/>
      <c r="F52" s="191"/>
      <c r="G52" s="191"/>
    </row>
    <row r="53" spans="2:13">
      <c r="B53" s="336"/>
      <c r="C53" s="336"/>
      <c r="D53" s="336"/>
      <c r="E53" s="336"/>
      <c r="F53" s="336"/>
      <c r="G53" s="336"/>
    </row>
    <row r="54" spans="2:13">
      <c r="B54" s="337"/>
      <c r="C54" s="337"/>
      <c r="D54" s="337"/>
      <c r="E54" s="337"/>
      <c r="F54" s="337"/>
      <c r="G54" s="337"/>
    </row>
    <row r="55" spans="2:13">
      <c r="B55" s="337"/>
      <c r="C55" s="337"/>
      <c r="D55" s="337"/>
      <c r="E55" s="337"/>
      <c r="F55" s="337"/>
      <c r="G55" s="337"/>
    </row>
  </sheetData>
  <mergeCells count="19">
    <mergeCell ref="B50:E50"/>
    <mergeCell ref="F50:K50"/>
    <mergeCell ref="B53:G53"/>
    <mergeCell ref="B54:G54"/>
    <mergeCell ref="B55:G55"/>
    <mergeCell ref="F51:K51"/>
    <mergeCell ref="F49:K49"/>
    <mergeCell ref="B42:I42"/>
    <mergeCell ref="H43:K43"/>
    <mergeCell ref="H44:K44"/>
    <mergeCell ref="B1:K1"/>
    <mergeCell ref="C3:K3"/>
    <mergeCell ref="C4:K4"/>
    <mergeCell ref="B5:B6"/>
    <mergeCell ref="C5:C6"/>
    <mergeCell ref="D5:D6"/>
    <mergeCell ref="E5:E6"/>
    <mergeCell ref="F5:F6"/>
    <mergeCell ref="G5:G6"/>
  </mergeCells>
  <pageMargins left="0" right="0" top="0.96312500000000001" bottom="0.74803149606299213" header="0.31496062992125984" footer="0.31496062992125984"/>
  <pageSetup paperSize="9" scale="69" orientation="landscape" r:id="rId1"/>
  <headerFooter>
    <oddHeader>&amp;C&amp;G</oddHeader>
    <oddFooter>&amp;R&amp;P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5"/>
  <sheetViews>
    <sheetView zoomScale="90" zoomScaleNormal="90" zoomScaleSheetLayoutView="100" workbookViewId="0">
      <selection activeCell="E70" sqref="E70"/>
    </sheetView>
  </sheetViews>
  <sheetFormatPr defaultRowHeight="15"/>
  <cols>
    <col min="1" max="1" width="3.2851562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10.42578125" customWidth="1"/>
    <col min="7" max="7" width="13" customWidth="1"/>
    <col min="8" max="8" width="11" customWidth="1"/>
    <col min="9" max="9" width="15.7109375" customWidth="1"/>
    <col min="10" max="10" width="14.85546875" customWidth="1"/>
    <col min="11" max="12" width="13.28515625" customWidth="1"/>
    <col min="13" max="13" width="13.28515625" hidden="1" customWidth="1"/>
  </cols>
  <sheetData>
    <row r="1" spans="2:13" ht="20.25" customHeight="1">
      <c r="B1" s="338" t="s">
        <v>127</v>
      </c>
      <c r="C1" s="338"/>
      <c r="D1" s="338"/>
      <c r="E1" s="338"/>
      <c r="F1" s="338"/>
      <c r="G1" s="338"/>
      <c r="H1" s="338"/>
      <c r="I1" s="338"/>
      <c r="J1" s="338"/>
      <c r="K1" s="338"/>
    </row>
    <row r="2" spans="2:13" ht="18" customHeight="1" thickBot="1">
      <c r="B2" s="235"/>
      <c r="C2" s="235"/>
      <c r="D2" s="235"/>
      <c r="E2" s="235"/>
      <c r="F2" s="235"/>
      <c r="G2" s="235"/>
      <c r="H2" s="235"/>
      <c r="I2" s="235"/>
      <c r="J2" s="235"/>
      <c r="K2" s="235"/>
    </row>
    <row r="3" spans="2:13" ht="18.75" customHeight="1" thickBot="1">
      <c r="B3" s="55" t="s">
        <v>1</v>
      </c>
      <c r="C3" s="339" t="s">
        <v>246</v>
      </c>
      <c r="D3" s="339"/>
      <c r="E3" s="339"/>
      <c r="F3" s="339"/>
      <c r="G3" s="339"/>
      <c r="H3" s="339"/>
      <c r="I3" s="339"/>
      <c r="J3" s="339"/>
      <c r="K3" s="339"/>
    </row>
    <row r="4" spans="2:13" ht="24" customHeight="1" thickBot="1">
      <c r="B4" s="55" t="s">
        <v>3</v>
      </c>
      <c r="C4" s="339" t="s">
        <v>260</v>
      </c>
      <c r="D4" s="339"/>
      <c r="E4" s="339"/>
      <c r="F4" s="339"/>
      <c r="G4" s="339"/>
      <c r="H4" s="339"/>
      <c r="I4" s="339"/>
      <c r="J4" s="339"/>
      <c r="K4" s="339"/>
    </row>
    <row r="5" spans="2:13" ht="32.25" thickBot="1">
      <c r="B5" s="366" t="s">
        <v>5</v>
      </c>
      <c r="C5" s="366" t="s">
        <v>6</v>
      </c>
      <c r="D5" s="366" t="s">
        <v>7</v>
      </c>
      <c r="E5" s="366" t="s">
        <v>8</v>
      </c>
      <c r="F5" s="367" t="s">
        <v>9</v>
      </c>
      <c r="G5" s="367" t="s">
        <v>10</v>
      </c>
      <c r="H5" s="237" t="s">
        <v>11</v>
      </c>
      <c r="I5" s="237" t="s">
        <v>12</v>
      </c>
      <c r="J5" s="237" t="s">
        <v>13</v>
      </c>
      <c r="K5" s="216" t="s">
        <v>14</v>
      </c>
      <c r="M5" s="213" t="e">
        <f>#REF!</f>
        <v>#REF!</v>
      </c>
    </row>
    <row r="6" spans="2:13" ht="19.5" customHeight="1" thickBot="1">
      <c r="B6" s="366"/>
      <c r="C6" s="366"/>
      <c r="D6" s="366"/>
      <c r="E6" s="366"/>
      <c r="F6" s="367"/>
      <c r="G6" s="367"/>
      <c r="H6" s="237" t="s">
        <v>15</v>
      </c>
      <c r="I6" s="237" t="s">
        <v>16</v>
      </c>
      <c r="J6" s="237" t="s">
        <v>15</v>
      </c>
      <c r="K6" s="216"/>
      <c r="M6" s="213">
        <f>J10</f>
        <v>57896.229999999996</v>
      </c>
    </row>
    <row r="7" spans="2:13" ht="18" customHeight="1">
      <c r="B7" s="224">
        <v>1</v>
      </c>
      <c r="C7" s="225"/>
      <c r="D7" s="224"/>
      <c r="E7" s="225" t="s">
        <v>182</v>
      </c>
      <c r="F7" s="226"/>
      <c r="G7" s="227"/>
      <c r="H7" s="227"/>
      <c r="I7" s="228"/>
      <c r="J7" s="229"/>
      <c r="K7" s="230"/>
      <c r="M7" s="213">
        <f>J41</f>
        <v>933.48</v>
      </c>
    </row>
    <row r="8" spans="2:13" ht="33" customHeight="1">
      <c r="B8" s="7" t="s">
        <v>18</v>
      </c>
      <c r="C8" s="7" t="s">
        <v>249</v>
      </c>
      <c r="D8" s="7">
        <v>7011</v>
      </c>
      <c r="E8" s="25" t="s">
        <v>240</v>
      </c>
      <c r="F8" s="7" t="s">
        <v>230</v>
      </c>
      <c r="G8" s="9">
        <v>1451.92</v>
      </c>
      <c r="H8" s="16">
        <v>5.12</v>
      </c>
      <c r="I8" s="10">
        <f t="shared" ref="I8:I9" si="0">SUM(H8*1.2403)</f>
        <v>6.3503359999999995</v>
      </c>
      <c r="J8" s="202">
        <f t="shared" ref="J8:J40" si="1">TRUNC(G8*I8,2)</f>
        <v>9220.17</v>
      </c>
      <c r="K8" s="41"/>
      <c r="L8" s="61"/>
      <c r="M8" s="213">
        <f>J33</f>
        <v>4611.08</v>
      </c>
    </row>
    <row r="9" spans="2:13" ht="34.5" customHeight="1">
      <c r="B9" s="7" t="s">
        <v>24</v>
      </c>
      <c r="C9" s="7" t="s">
        <v>249</v>
      </c>
      <c r="D9" s="7" t="s">
        <v>65</v>
      </c>
      <c r="E9" s="25" t="s">
        <v>241</v>
      </c>
      <c r="F9" s="7" t="s">
        <v>230</v>
      </c>
      <c r="G9" s="9">
        <v>1451.92</v>
      </c>
      <c r="H9" s="16">
        <v>27.03</v>
      </c>
      <c r="I9" s="10">
        <f t="shared" si="0"/>
        <v>33.525309</v>
      </c>
      <c r="J9" s="202">
        <f t="shared" si="1"/>
        <v>48676.06</v>
      </c>
      <c r="K9" s="41"/>
      <c r="M9" s="214" t="e">
        <f>SUM(M5:M8)</f>
        <v>#REF!</v>
      </c>
    </row>
    <row r="10" spans="2:13" ht="15.75" customHeight="1">
      <c r="B10" s="369" t="s">
        <v>38</v>
      </c>
      <c r="C10" s="370"/>
      <c r="D10" s="370"/>
      <c r="E10" s="371"/>
      <c r="F10" s="217"/>
      <c r="G10" s="218"/>
      <c r="H10" s="218"/>
      <c r="I10" s="219"/>
      <c r="J10" s="219">
        <f>SUM(J8:J9)</f>
        <v>57896.229999999996</v>
      </c>
      <c r="K10" s="220">
        <f>J10/J42</f>
        <v>0.19760497415370243</v>
      </c>
    </row>
    <row r="11" spans="2:13" ht="18" customHeight="1">
      <c r="B11" s="224">
        <v>2</v>
      </c>
      <c r="C11" s="225"/>
      <c r="D11" s="224"/>
      <c r="E11" s="225" t="s">
        <v>183</v>
      </c>
      <c r="F11" s="224"/>
      <c r="G11" s="227"/>
      <c r="H11" s="227"/>
      <c r="I11" s="232"/>
      <c r="J11" s="229"/>
      <c r="K11" s="230"/>
    </row>
    <row r="12" spans="2:13" ht="18" customHeight="1">
      <c r="B12" s="26"/>
      <c r="C12" s="15"/>
      <c r="D12" s="26"/>
      <c r="E12" s="15" t="s">
        <v>222</v>
      </c>
      <c r="F12" s="26"/>
      <c r="G12" s="12"/>
      <c r="H12" s="12"/>
      <c r="I12" s="13"/>
      <c r="J12" s="231"/>
      <c r="K12" s="42"/>
    </row>
    <row r="13" spans="2:13" s="206" customFormat="1" ht="48" customHeight="1">
      <c r="B13" s="8" t="s">
        <v>41</v>
      </c>
      <c r="C13" s="8" t="s">
        <v>249</v>
      </c>
      <c r="D13" s="8">
        <v>83338</v>
      </c>
      <c r="E13" s="23" t="s">
        <v>273</v>
      </c>
      <c r="F13" s="8" t="s">
        <v>231</v>
      </c>
      <c r="G13" s="14">
        <f>G18*0.4</f>
        <v>1423.7760000000001</v>
      </c>
      <c r="H13" s="16">
        <v>2.33</v>
      </c>
      <c r="I13" s="16">
        <f t="shared" ref="I13" si="2">SUM(H13*1.2403)</f>
        <v>2.8898989999999998</v>
      </c>
      <c r="J13" s="238">
        <f t="shared" si="1"/>
        <v>4114.5600000000004</v>
      </c>
      <c r="K13" s="44"/>
    </row>
    <row r="14" spans="2:13" ht="59.25" customHeight="1">
      <c r="B14" s="8" t="s">
        <v>43</v>
      </c>
      <c r="C14" s="7" t="s">
        <v>249</v>
      </c>
      <c r="D14" s="190" t="s">
        <v>28</v>
      </c>
      <c r="E14" s="23" t="s">
        <v>239</v>
      </c>
      <c r="F14" s="7" t="s">
        <v>231</v>
      </c>
      <c r="G14" s="14">
        <f>(G13)*1.15</f>
        <v>1637.3424</v>
      </c>
      <c r="H14" s="16">
        <v>1.46</v>
      </c>
      <c r="I14" s="10">
        <f t="shared" ref="I14" si="3">SUM(H14*1.2403)</f>
        <v>1.8108379999999999</v>
      </c>
      <c r="J14" s="202">
        <f t="shared" si="1"/>
        <v>2964.96</v>
      </c>
      <c r="K14" s="44"/>
    </row>
    <row r="15" spans="2:13" ht="30">
      <c r="B15" s="8" t="s">
        <v>46</v>
      </c>
      <c r="C15" s="7" t="s">
        <v>249</v>
      </c>
      <c r="D15" s="7">
        <v>72887</v>
      </c>
      <c r="E15" s="17" t="s">
        <v>261</v>
      </c>
      <c r="F15" s="7" t="s">
        <v>242</v>
      </c>
      <c r="G15" s="9">
        <f>G14*8</f>
        <v>13098.7392</v>
      </c>
      <c r="H15" s="16">
        <v>0.86</v>
      </c>
      <c r="I15" s="10">
        <f>SUM(H15*1.2403)</f>
        <v>1.0666579999999999</v>
      </c>
      <c r="J15" s="202">
        <f t="shared" si="1"/>
        <v>13971.87</v>
      </c>
      <c r="K15" s="41"/>
      <c r="L15" s="61"/>
    </row>
    <row r="16" spans="2:13" ht="15.75">
      <c r="B16" s="24"/>
      <c r="C16" s="24"/>
      <c r="D16" s="24"/>
      <c r="E16" s="15" t="s">
        <v>40</v>
      </c>
      <c r="F16" s="24"/>
      <c r="G16" s="12"/>
      <c r="H16" s="19"/>
      <c r="I16" s="19"/>
      <c r="J16" s="231"/>
      <c r="K16" s="42"/>
      <c r="L16" s="61"/>
    </row>
    <row r="17" spans="2:12" ht="60.75" customHeight="1">
      <c r="B17" s="7" t="s">
        <v>48</v>
      </c>
      <c r="C17" s="7" t="s">
        <v>249</v>
      </c>
      <c r="D17" s="190" t="s">
        <v>202</v>
      </c>
      <c r="E17" s="23" t="s">
        <v>262</v>
      </c>
      <c r="F17" s="8" t="s">
        <v>231</v>
      </c>
      <c r="G17" s="14">
        <f>(G18*0.2)*1.15</f>
        <v>818.6712</v>
      </c>
      <c r="H17" s="16">
        <v>3.1</v>
      </c>
      <c r="I17" s="10">
        <f>SUM(H17*1.2403)</f>
        <v>3.8449300000000002</v>
      </c>
      <c r="J17" s="202">
        <f t="shared" si="1"/>
        <v>3147.73</v>
      </c>
      <c r="K17" s="44"/>
    </row>
    <row r="18" spans="2:12" ht="32.25" customHeight="1">
      <c r="B18" s="7" t="s">
        <v>50</v>
      </c>
      <c r="C18" s="7" t="s">
        <v>249</v>
      </c>
      <c r="D18" s="7">
        <v>72961</v>
      </c>
      <c r="E18" s="17" t="s">
        <v>238</v>
      </c>
      <c r="F18" s="7" t="s">
        <v>229</v>
      </c>
      <c r="G18" s="14">
        <v>3559.44</v>
      </c>
      <c r="H18" s="31">
        <v>1.1599999999999999</v>
      </c>
      <c r="I18" s="10">
        <f>SUM(H18*1.2403)</f>
        <v>1.4387479999999999</v>
      </c>
      <c r="J18" s="202">
        <f>TRUNC(G18*I18,2)</f>
        <v>5121.13</v>
      </c>
      <c r="K18" s="45"/>
    </row>
    <row r="19" spans="2:12" ht="45">
      <c r="B19" s="7" t="s">
        <v>52</v>
      </c>
      <c r="C19" s="7" t="s">
        <v>249</v>
      </c>
      <c r="D19" s="7">
        <v>72886</v>
      </c>
      <c r="E19" s="17" t="s">
        <v>263</v>
      </c>
      <c r="F19" s="7" t="s">
        <v>232</v>
      </c>
      <c r="G19" s="9">
        <f>G17*14</f>
        <v>11461.3968</v>
      </c>
      <c r="H19" s="16">
        <v>1.03</v>
      </c>
      <c r="I19" s="10">
        <f>SUM(H19*1.2403)</f>
        <v>1.277509</v>
      </c>
      <c r="J19" s="202">
        <f t="shared" si="1"/>
        <v>14642.03</v>
      </c>
      <c r="K19" s="41"/>
      <c r="L19" s="61"/>
    </row>
    <row r="20" spans="2:12" ht="16.5" customHeight="1">
      <c r="B20" s="26"/>
      <c r="C20" s="15"/>
      <c r="D20" s="26"/>
      <c r="E20" s="15" t="s">
        <v>45</v>
      </c>
      <c r="F20" s="26"/>
      <c r="G20" s="12"/>
      <c r="H20" s="12"/>
      <c r="I20" s="13"/>
      <c r="J20" s="231"/>
      <c r="K20" s="42"/>
    </row>
    <row r="21" spans="2:12" ht="30">
      <c r="B21" s="8" t="s">
        <v>54</v>
      </c>
      <c r="C21" s="7" t="s">
        <v>249</v>
      </c>
      <c r="D21" s="7">
        <v>73710</v>
      </c>
      <c r="E21" s="17" t="s">
        <v>264</v>
      </c>
      <c r="F21" s="7" t="s">
        <v>231</v>
      </c>
      <c r="G21" s="14">
        <f>(G18)*0.2</f>
        <v>711.88800000000003</v>
      </c>
      <c r="H21" s="16">
        <v>93.94</v>
      </c>
      <c r="I21" s="10">
        <f t="shared" ref="I21" si="4">SUM(H21*1.2403)</f>
        <v>116.51378199999999</v>
      </c>
      <c r="J21" s="202">
        <f t="shared" si="1"/>
        <v>82944.759999999995</v>
      </c>
      <c r="K21" s="44"/>
      <c r="L21" s="61"/>
    </row>
    <row r="22" spans="2:12" ht="16.5" customHeight="1">
      <c r="B22" s="26"/>
      <c r="C22" s="15"/>
      <c r="D22" s="26"/>
      <c r="E22" s="15" t="s">
        <v>149</v>
      </c>
      <c r="F22" s="26"/>
      <c r="G22" s="12"/>
      <c r="H22" s="12"/>
      <c r="I22" s="13"/>
      <c r="J22" s="231"/>
      <c r="K22" s="42"/>
    </row>
    <row r="23" spans="2:12" ht="17.25" customHeight="1">
      <c r="B23" s="8" t="s">
        <v>57</v>
      </c>
      <c r="C23" s="7" t="s">
        <v>249</v>
      </c>
      <c r="D23" s="7">
        <v>72945</v>
      </c>
      <c r="E23" s="23" t="s">
        <v>225</v>
      </c>
      <c r="F23" s="7" t="s">
        <v>229</v>
      </c>
      <c r="G23" s="14">
        <f>G18</f>
        <v>3559.44</v>
      </c>
      <c r="H23" s="16">
        <v>4.4800000000000004</v>
      </c>
      <c r="I23" s="10">
        <f>SUM(H23*1.2403)</f>
        <v>5.5565440000000006</v>
      </c>
      <c r="J23" s="202">
        <f t="shared" si="1"/>
        <v>19778.18</v>
      </c>
      <c r="K23" s="41"/>
      <c r="L23" s="61"/>
    </row>
    <row r="24" spans="2:12" ht="21" customHeight="1">
      <c r="B24" s="8" t="s">
        <v>252</v>
      </c>
      <c r="C24" s="7" t="s">
        <v>249</v>
      </c>
      <c r="D24" s="7">
        <v>72942</v>
      </c>
      <c r="E24" s="23" t="s">
        <v>224</v>
      </c>
      <c r="F24" s="7" t="s">
        <v>229</v>
      </c>
      <c r="G24" s="14">
        <f>G18</f>
        <v>3559.44</v>
      </c>
      <c r="H24" s="16">
        <v>1.23</v>
      </c>
      <c r="I24" s="10">
        <f t="shared" ref="I24:I26" si="5">SUM(H24*1.2403)</f>
        <v>1.525569</v>
      </c>
      <c r="J24" s="202">
        <f t="shared" si="1"/>
        <v>5430.17</v>
      </c>
      <c r="K24" s="41"/>
    </row>
    <row r="25" spans="2:12" ht="45">
      <c r="B25" s="8" t="s">
        <v>253</v>
      </c>
      <c r="C25" s="7" t="s">
        <v>249</v>
      </c>
      <c r="D25" s="49">
        <v>72965</v>
      </c>
      <c r="E25" s="23" t="s">
        <v>265</v>
      </c>
      <c r="F25" s="7" t="s">
        <v>56</v>
      </c>
      <c r="G25" s="14">
        <f>G18*0.03*2.5</f>
        <v>266.95799999999997</v>
      </c>
      <c r="H25" s="16">
        <v>204.42</v>
      </c>
      <c r="I25" s="10">
        <f t="shared" si="5"/>
        <v>253.54212599999997</v>
      </c>
      <c r="J25" s="202">
        <f t="shared" si="1"/>
        <v>67685.09</v>
      </c>
      <c r="K25" s="41"/>
      <c r="L25" s="61"/>
    </row>
    <row r="26" spans="2:12" ht="30">
      <c r="B26" s="8" t="s">
        <v>254</v>
      </c>
      <c r="C26" s="7" t="s">
        <v>249</v>
      </c>
      <c r="D26" s="7">
        <v>83357</v>
      </c>
      <c r="E26" s="17" t="s">
        <v>266</v>
      </c>
      <c r="F26" s="7" t="s">
        <v>243</v>
      </c>
      <c r="G26" s="9">
        <f>G25*35</f>
        <v>9343.5299999999988</v>
      </c>
      <c r="H26" s="16">
        <v>0.79</v>
      </c>
      <c r="I26" s="10">
        <f t="shared" si="5"/>
        <v>0.97983699999999996</v>
      </c>
      <c r="J26" s="202">
        <f t="shared" si="1"/>
        <v>9155.1299999999992</v>
      </c>
      <c r="K26" s="41"/>
      <c r="L26" s="61"/>
    </row>
    <row r="27" spans="2:12" ht="45">
      <c r="B27" s="8" t="s">
        <v>255</v>
      </c>
      <c r="C27" s="7" t="s">
        <v>249</v>
      </c>
      <c r="D27" s="7">
        <v>72891</v>
      </c>
      <c r="E27" s="17" t="s">
        <v>237</v>
      </c>
      <c r="F27" s="7" t="s">
        <v>231</v>
      </c>
      <c r="G27" s="9">
        <f>G18*0.03</f>
        <v>106.78319999999999</v>
      </c>
      <c r="H27" s="16">
        <v>4.4800000000000004</v>
      </c>
      <c r="I27" s="10">
        <f>SUM(H27*1.2403)</f>
        <v>5.5565440000000006</v>
      </c>
      <c r="J27" s="202">
        <f t="shared" si="1"/>
        <v>593.34</v>
      </c>
      <c r="K27" s="41"/>
      <c r="L27" s="61"/>
    </row>
    <row r="28" spans="2:12" ht="15.75" customHeight="1">
      <c r="B28" s="369" t="s">
        <v>38</v>
      </c>
      <c r="C28" s="370"/>
      <c r="D28" s="370"/>
      <c r="E28" s="371"/>
      <c r="F28" s="217"/>
      <c r="G28" s="218"/>
      <c r="H28" s="218"/>
      <c r="I28" s="219"/>
      <c r="J28" s="219">
        <f>SUM(J13:J27)</f>
        <v>229548.95</v>
      </c>
      <c r="K28" s="220">
        <f>J28/J42</f>
        <v>0.78347095021143065</v>
      </c>
      <c r="L28" s="212"/>
    </row>
    <row r="29" spans="2:12" ht="19.5" customHeight="1">
      <c r="B29" s="224">
        <v>3</v>
      </c>
      <c r="C29" s="225"/>
      <c r="D29" s="224"/>
      <c r="E29" s="225" t="s">
        <v>235</v>
      </c>
      <c r="F29" s="224"/>
      <c r="G29" s="227"/>
      <c r="H29" s="227"/>
      <c r="I29" s="232"/>
      <c r="J29" s="229">
        <f>SUM(J38:J39)</f>
        <v>717.58</v>
      </c>
      <c r="K29" s="230"/>
    </row>
    <row r="30" spans="2:12" ht="33" customHeight="1">
      <c r="B30" s="7" t="s">
        <v>61</v>
      </c>
      <c r="C30" s="7" t="s">
        <v>249</v>
      </c>
      <c r="D30" s="7">
        <v>72947</v>
      </c>
      <c r="E30" s="17" t="s">
        <v>226</v>
      </c>
      <c r="F30" s="7" t="s">
        <v>229</v>
      </c>
      <c r="G30" s="9">
        <v>72</v>
      </c>
      <c r="H30" s="14">
        <v>18.34</v>
      </c>
      <c r="I30" s="10">
        <f t="shared" ref="I30" si="6">SUM(H30*1.2403)</f>
        <v>22.747101999999998</v>
      </c>
      <c r="J30" s="202">
        <f>TRUNC(G30*I30,2)</f>
        <v>1637.79</v>
      </c>
      <c r="K30" s="9"/>
      <c r="L30" s="61"/>
    </row>
    <row r="31" spans="2:12" ht="31.5" customHeight="1">
      <c r="B31" s="7" t="s">
        <v>64</v>
      </c>
      <c r="C31" s="7" t="s">
        <v>249</v>
      </c>
      <c r="D31" s="7" t="s">
        <v>71</v>
      </c>
      <c r="E31" s="17" t="s">
        <v>267</v>
      </c>
      <c r="F31" s="7" t="s">
        <v>227</v>
      </c>
      <c r="G31" s="9">
        <v>8</v>
      </c>
      <c r="H31" s="14">
        <v>87.76</v>
      </c>
      <c r="I31" s="10">
        <f>SUM(H31*1.2403)</f>
        <v>108.84872800000001</v>
      </c>
      <c r="J31" s="202">
        <f>TRUNC(G31*I31,2)</f>
        <v>870.78</v>
      </c>
      <c r="K31" s="9"/>
      <c r="L31" s="61"/>
    </row>
    <row r="32" spans="2:12" ht="31.5" customHeight="1">
      <c r="B32" s="7" t="s">
        <v>195</v>
      </c>
      <c r="C32" s="7" t="s">
        <v>249</v>
      </c>
      <c r="D32" s="7">
        <v>92336</v>
      </c>
      <c r="E32" s="17" t="s">
        <v>251</v>
      </c>
      <c r="F32" s="7" t="s">
        <v>230</v>
      </c>
      <c r="G32" s="9">
        <f>8*3.6</f>
        <v>28.8</v>
      </c>
      <c r="H32" s="14">
        <v>58.86</v>
      </c>
      <c r="I32" s="10">
        <f>SUM(H32*1.2403)</f>
        <v>73.004058000000001</v>
      </c>
      <c r="J32" s="202">
        <f>TRUNC(G32*I32,2)</f>
        <v>2102.5100000000002</v>
      </c>
      <c r="K32" s="9"/>
      <c r="L32" s="61"/>
    </row>
    <row r="33" spans="2:12" ht="22.5" customHeight="1">
      <c r="B33" s="369" t="s">
        <v>38</v>
      </c>
      <c r="C33" s="370"/>
      <c r="D33" s="370"/>
      <c r="E33" s="371"/>
      <c r="F33" s="217"/>
      <c r="G33" s="218"/>
      <c r="H33" s="218"/>
      <c r="I33" s="219"/>
      <c r="J33" s="221">
        <f>SUM(J30:J32)</f>
        <v>4611.08</v>
      </c>
      <c r="K33" s="220">
        <f>J33/J42</f>
        <v>1.5738025502189942E-2</v>
      </c>
    </row>
    <row r="34" spans="2:12" ht="18.75" customHeight="1">
      <c r="B34" s="224">
        <v>4</v>
      </c>
      <c r="C34" s="225"/>
      <c r="D34" s="224"/>
      <c r="E34" s="225" t="s">
        <v>228</v>
      </c>
      <c r="F34" s="224"/>
      <c r="G34" s="227"/>
      <c r="H34" s="227"/>
      <c r="I34" s="232"/>
      <c r="J34" s="229"/>
      <c r="K34" s="230"/>
    </row>
    <row r="35" spans="2:12" ht="32.25" customHeight="1">
      <c r="B35" s="7" t="s">
        <v>68</v>
      </c>
      <c r="C35" s="7" t="s">
        <v>249</v>
      </c>
      <c r="D35" s="7" t="s">
        <v>234</v>
      </c>
      <c r="E35" s="17" t="s">
        <v>236</v>
      </c>
      <c r="F35" s="7" t="s">
        <v>229</v>
      </c>
      <c r="G35" s="9">
        <f>G37</f>
        <v>16</v>
      </c>
      <c r="H35" s="14">
        <v>0.49</v>
      </c>
      <c r="I35" s="10">
        <f t="shared" ref="I35" si="7">SUM(H35*1.2403)</f>
        <v>0.60774699999999993</v>
      </c>
      <c r="J35" s="202">
        <f t="shared" ref="J35" si="8">TRUNC(G35*I35,2)</f>
        <v>9.7200000000000006</v>
      </c>
      <c r="K35" s="9"/>
    </row>
    <row r="36" spans="2:12">
      <c r="B36" s="7" t="s">
        <v>70</v>
      </c>
      <c r="C36" s="7" t="s">
        <v>249</v>
      </c>
      <c r="D36" s="7">
        <v>85422</v>
      </c>
      <c r="E36" s="17" t="s">
        <v>233</v>
      </c>
      <c r="F36" s="7" t="s">
        <v>229</v>
      </c>
      <c r="G36" s="9">
        <f>G37</f>
        <v>16</v>
      </c>
      <c r="H36" s="14">
        <v>5.69</v>
      </c>
      <c r="I36" s="10">
        <f t="shared" ref="I36:I40" si="9">SUM(H36*1.2403)</f>
        <v>7.0573070000000007</v>
      </c>
      <c r="J36" s="202">
        <f t="shared" si="1"/>
        <v>112.91</v>
      </c>
      <c r="K36" s="9"/>
      <c r="L36" s="61"/>
    </row>
    <row r="37" spans="2:12" ht="30">
      <c r="B37" s="7" t="s">
        <v>73</v>
      </c>
      <c r="C37" s="7" t="s">
        <v>249</v>
      </c>
      <c r="D37" s="7">
        <v>5622</v>
      </c>
      <c r="E37" s="17" t="s">
        <v>270</v>
      </c>
      <c r="F37" s="7" t="s">
        <v>229</v>
      </c>
      <c r="G37" s="9">
        <v>16</v>
      </c>
      <c r="H37" s="14">
        <v>4.7</v>
      </c>
      <c r="I37" s="10">
        <f t="shared" ref="I37" si="10">SUM(H37*1.2403)</f>
        <v>5.8294100000000002</v>
      </c>
      <c r="J37" s="202">
        <f t="shared" si="1"/>
        <v>93.27</v>
      </c>
      <c r="K37" s="9"/>
      <c r="L37" s="61"/>
    </row>
    <row r="38" spans="2:12" ht="18" customHeight="1">
      <c r="B38" s="7" t="s">
        <v>256</v>
      </c>
      <c r="C38" s="7" t="s">
        <v>249</v>
      </c>
      <c r="D38" s="7" t="s">
        <v>82</v>
      </c>
      <c r="E38" s="17" t="s">
        <v>269</v>
      </c>
      <c r="F38" s="7" t="s">
        <v>231</v>
      </c>
      <c r="G38" s="9">
        <f>(G37*0.03)</f>
        <v>0.48</v>
      </c>
      <c r="H38" s="14">
        <v>85.68</v>
      </c>
      <c r="I38" s="10">
        <f t="shared" si="9"/>
        <v>106.26890400000001</v>
      </c>
      <c r="J38" s="202">
        <f t="shared" si="1"/>
        <v>51</v>
      </c>
      <c r="K38" s="9"/>
      <c r="L38" s="61"/>
    </row>
    <row r="39" spans="2:12" ht="66" customHeight="1">
      <c r="B39" s="7" t="s">
        <v>257</v>
      </c>
      <c r="C39" s="7" t="s">
        <v>249</v>
      </c>
      <c r="D39" s="7" t="s">
        <v>85</v>
      </c>
      <c r="E39" s="17" t="s">
        <v>268</v>
      </c>
      <c r="F39" s="7" t="s">
        <v>229</v>
      </c>
      <c r="G39" s="9">
        <f>G37</f>
        <v>16</v>
      </c>
      <c r="H39" s="14">
        <v>33.590000000000003</v>
      </c>
      <c r="I39" s="10">
        <f t="shared" si="9"/>
        <v>41.661677000000005</v>
      </c>
      <c r="J39" s="202">
        <f t="shared" si="1"/>
        <v>666.58</v>
      </c>
      <c r="K39" s="9"/>
      <c r="L39" s="61"/>
    </row>
    <row r="40" spans="2:12" ht="30.75" customHeight="1">
      <c r="B40" s="7" t="s">
        <v>258</v>
      </c>
      <c r="C40" s="7" t="s">
        <v>249</v>
      </c>
      <c r="D40" s="7" t="s">
        <v>87</v>
      </c>
      <c r="E40" s="17" t="s">
        <v>88</v>
      </c>
      <c r="F40" s="7" t="s">
        <v>229</v>
      </c>
      <c r="G40" s="9">
        <v>16</v>
      </c>
      <c r="H40" s="14">
        <v>11.41</v>
      </c>
      <c r="I40" s="10">
        <f t="shared" si="9"/>
        <v>14.151823</v>
      </c>
      <c r="J40" s="202">
        <f t="shared" si="1"/>
        <v>226.42</v>
      </c>
      <c r="K40" s="9"/>
      <c r="L40" s="61"/>
    </row>
    <row r="41" spans="2:12" ht="16.5" customHeight="1" thickBot="1">
      <c r="B41" s="373" t="s">
        <v>38</v>
      </c>
      <c r="C41" s="374"/>
      <c r="D41" s="374"/>
      <c r="E41" s="375"/>
      <c r="F41" s="217"/>
      <c r="G41" s="218"/>
      <c r="H41" s="218"/>
      <c r="I41" s="219"/>
      <c r="J41" s="219">
        <f>SUM(J35:J39)</f>
        <v>933.48</v>
      </c>
      <c r="K41" s="220">
        <f>J41/J42</f>
        <v>3.1860501326770011E-3</v>
      </c>
      <c r="L41" s="61"/>
    </row>
    <row r="42" spans="2:12" ht="22.5" customHeight="1" thickBot="1">
      <c r="B42" s="363" t="s">
        <v>197</v>
      </c>
      <c r="C42" s="364"/>
      <c r="D42" s="364"/>
      <c r="E42" s="364"/>
      <c r="F42" s="364"/>
      <c r="G42" s="364"/>
      <c r="H42" s="364"/>
      <c r="I42" s="365"/>
      <c r="J42" s="222">
        <f>TRUNC(J10+J28+J41+J33,2)</f>
        <v>292989.74</v>
      </c>
      <c r="K42" s="223">
        <f>K10+K28+K41+K33</f>
        <v>1</v>
      </c>
      <c r="L42" s="5"/>
    </row>
    <row r="43" spans="2:12" ht="15.75">
      <c r="B43" s="27" t="s">
        <v>250</v>
      </c>
      <c r="C43" s="27"/>
      <c r="D43" s="27"/>
      <c r="E43" s="27"/>
      <c r="F43" s="28"/>
      <c r="G43" s="27"/>
      <c r="H43" s="335" t="s">
        <v>248</v>
      </c>
      <c r="I43" s="335"/>
      <c r="J43" s="335"/>
      <c r="K43" s="335"/>
      <c r="L43" s="1"/>
    </row>
    <row r="44" spans="2:12" ht="15.75">
      <c r="B44" s="20"/>
      <c r="C44" s="20"/>
      <c r="D44" s="20"/>
      <c r="E44" s="20"/>
      <c r="F44" s="21"/>
      <c r="G44" s="20"/>
      <c r="H44" s="333"/>
      <c r="I44" s="333"/>
      <c r="J44" s="333"/>
      <c r="K44" s="333"/>
      <c r="L44" s="64"/>
    </row>
    <row r="45" spans="2:12" ht="15.75">
      <c r="B45" s="20"/>
      <c r="C45" s="20"/>
      <c r="D45" s="20"/>
      <c r="E45" s="20"/>
      <c r="F45" s="21"/>
      <c r="G45" s="20"/>
      <c r="H45" s="236"/>
      <c r="I45" s="236"/>
      <c r="J45" s="236"/>
      <c r="K45" s="236"/>
      <c r="L45" s="64"/>
    </row>
    <row r="46" spans="2:12" ht="15.75">
      <c r="B46" s="20"/>
      <c r="C46" s="20"/>
      <c r="D46" s="20"/>
      <c r="E46" s="20"/>
      <c r="F46" s="21"/>
      <c r="G46" s="20"/>
      <c r="H46" s="236"/>
      <c r="I46" s="236"/>
      <c r="J46" s="236"/>
      <c r="K46" s="236"/>
      <c r="L46" s="64"/>
    </row>
    <row r="47" spans="2:12" ht="15.75">
      <c r="B47" s="20"/>
      <c r="C47" s="20"/>
      <c r="D47" s="20"/>
      <c r="E47" s="20"/>
      <c r="F47" s="21"/>
      <c r="G47" s="20"/>
      <c r="H47" s="236"/>
      <c r="I47" s="236"/>
      <c r="J47" s="236"/>
      <c r="K47" s="236"/>
      <c r="L47" s="1"/>
    </row>
    <row r="48" spans="2:12" ht="15.75">
      <c r="B48" s="20"/>
      <c r="C48" s="20"/>
      <c r="D48" s="20"/>
      <c r="E48" s="20"/>
      <c r="F48" s="21"/>
      <c r="G48" s="20"/>
      <c r="H48" s="236"/>
      <c r="I48" s="236"/>
      <c r="J48" s="236"/>
      <c r="K48" s="236"/>
      <c r="L48" s="1"/>
    </row>
    <row r="49" spans="2:13" ht="15.75">
      <c r="B49" s="29" t="s">
        <v>95</v>
      </c>
      <c r="C49" s="29"/>
      <c r="D49" s="29"/>
      <c r="E49" s="30"/>
      <c r="F49" s="334" t="s">
        <v>244</v>
      </c>
      <c r="G49" s="334"/>
      <c r="H49" s="334"/>
      <c r="I49" s="334"/>
      <c r="J49" s="334"/>
      <c r="K49" s="334"/>
      <c r="L49" s="1"/>
      <c r="M49" s="61"/>
    </row>
    <row r="50" spans="2:13">
      <c r="B50" s="331" t="s">
        <v>96</v>
      </c>
      <c r="C50" s="331"/>
      <c r="D50" s="331"/>
      <c r="E50" s="331"/>
      <c r="F50" s="343" t="s">
        <v>245</v>
      </c>
      <c r="G50" s="343"/>
      <c r="H50" s="343"/>
      <c r="I50" s="343"/>
      <c r="J50" s="343"/>
      <c r="K50" s="343"/>
      <c r="L50" s="1"/>
      <c r="M50" s="61"/>
    </row>
    <row r="51" spans="2:13" ht="15.75">
      <c r="B51" s="2"/>
      <c r="C51" s="2"/>
      <c r="D51" s="2"/>
      <c r="E51" s="3"/>
      <c r="F51" s="372" t="s">
        <v>276</v>
      </c>
      <c r="G51" s="372"/>
      <c r="H51" s="372"/>
      <c r="I51" s="372"/>
      <c r="J51" s="372"/>
      <c r="K51" s="372"/>
      <c r="L51" s="1"/>
    </row>
    <row r="52" spans="2:13">
      <c r="B52" s="234"/>
      <c r="C52" s="234"/>
      <c r="D52" s="234"/>
      <c r="E52" s="234"/>
      <c r="F52" s="234"/>
      <c r="G52" s="234"/>
    </row>
    <row r="53" spans="2:13">
      <c r="B53" s="336"/>
      <c r="C53" s="336"/>
      <c r="D53" s="336"/>
      <c r="E53" s="336"/>
      <c r="F53" s="336"/>
      <c r="G53" s="336"/>
    </row>
    <row r="54" spans="2:13">
      <c r="B54" s="337"/>
      <c r="C54" s="337"/>
      <c r="D54" s="337"/>
      <c r="E54" s="337"/>
      <c r="F54" s="337"/>
      <c r="G54" s="337"/>
    </row>
    <row r="55" spans="2:13">
      <c r="B55" s="337"/>
      <c r="C55" s="337"/>
      <c r="D55" s="337"/>
      <c r="E55" s="337"/>
      <c r="F55" s="337"/>
      <c r="G55" s="337"/>
    </row>
  </sheetData>
  <mergeCells count="23">
    <mergeCell ref="F51:K51"/>
    <mergeCell ref="B53:G53"/>
    <mergeCell ref="B54:G54"/>
    <mergeCell ref="B55:G55"/>
    <mergeCell ref="B33:E33"/>
    <mergeCell ref="B42:I42"/>
    <mergeCell ref="H43:K43"/>
    <mergeCell ref="H44:K44"/>
    <mergeCell ref="F49:K49"/>
    <mergeCell ref="B50:E50"/>
    <mergeCell ref="F50:K50"/>
    <mergeCell ref="B41:E41"/>
    <mergeCell ref="B10:E10"/>
    <mergeCell ref="B28:E28"/>
    <mergeCell ref="B1:K1"/>
    <mergeCell ref="C3:K3"/>
    <mergeCell ref="C4:K4"/>
    <mergeCell ref="B5:B6"/>
    <mergeCell ref="C5:C6"/>
    <mergeCell ref="D5:D6"/>
    <mergeCell ref="E5:E6"/>
    <mergeCell ref="F5:F6"/>
    <mergeCell ref="G5:G6"/>
  </mergeCells>
  <pageMargins left="0" right="0" top="0.96312500000000001" bottom="0.74803149606299213" header="0.31496062992125984" footer="0.31496062992125984"/>
  <pageSetup paperSize="9" scale="69" orientation="landscape" r:id="rId1"/>
  <headerFooter>
    <oddHeader>&amp;C&amp;G</oddHeader>
    <oddFooter>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5</vt:i4>
      </vt:variant>
    </vt:vector>
  </HeadingPairs>
  <TitlesOfParts>
    <vt:vector size="15" baseType="lpstr">
      <vt:lpstr>RELAÇÃO DAS RUAS</vt:lpstr>
      <vt:lpstr>CRONOGRAMA POR RUA</vt:lpstr>
      <vt:lpstr>RUA 8-9-10 E SEBASTIÃO A</vt:lpstr>
      <vt:lpstr>RUA SEBASTIÃO AUGUSTO INACIO</vt:lpstr>
      <vt:lpstr>PLANILHA GERAL</vt:lpstr>
      <vt:lpstr>MEMORIA RUA SEBASTIAO AUGUSTO</vt:lpstr>
      <vt:lpstr>M Calculo</vt:lpstr>
      <vt:lpstr>Ruas Bambu Cerejeira e Macieira</vt:lpstr>
      <vt:lpstr>Ruas Bambu com Daniel</vt:lpstr>
      <vt:lpstr>Ruas Bambu com Daniel Parci (2)</vt:lpstr>
      <vt:lpstr>'CRONOGRAMA POR RUA'!Area_de_impressao</vt:lpstr>
      <vt:lpstr>'PLANILHA GERAL'!Area_de_impressao</vt:lpstr>
      <vt:lpstr>'RELAÇÃO DAS RUAS'!Area_de_impressao</vt:lpstr>
      <vt:lpstr>'PLANILHA GERAL'!Titulos_de_impressao</vt:lpstr>
      <vt:lpstr>'Ruas Bambu com Daniel Parci (2)'!Titulos_de_impressao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marilayne.cugler</dc:creator>
  <cp:lastModifiedBy>Lucas Felipe Ferraz</cp:lastModifiedBy>
  <cp:lastPrinted>2020-08-19T20:14:00Z</cp:lastPrinted>
  <dcterms:created xsi:type="dcterms:W3CDTF">2015-07-16T11:43:25Z</dcterms:created>
  <dcterms:modified xsi:type="dcterms:W3CDTF">2021-02-16T13:13:25Z</dcterms:modified>
</cp:coreProperties>
</file>